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4.xml" ContentType="application/vnd.openxmlformats-officedocument.spreadsheetml.comments+xml"/>
  <Override PartName="/xl/worksheets/sheet3.xml" ContentType="application/vnd.openxmlformats-officedocument.spreadsheetml.worksheet+xml"/>
  <Override PartName="/xl/comments5.xml" ContentType="application/vnd.openxmlformats-officedocument.spreadsheetml.comments+xml"/>
  <Override PartName="/xl/worksheets/sheet4.xml" ContentType="application/vnd.openxmlformats-officedocument.spreadsheetml.worksheet+xml"/>
  <Override PartName="/xl/comments6.xml" ContentType="application/vnd.openxmlformats-officedocument.spreadsheetml.comments+xml"/>
  <Override PartName="/xl/worksheets/sheet5.xml" ContentType="application/vnd.openxmlformats-officedocument.spreadsheetml.worksheet+xml"/>
  <Override PartName="/xl/comments7.xml" ContentType="application/vnd.openxmlformats-officedocument.spreadsheetml.comments+xml"/>
  <Override PartName="/xl/worksheets/sheet6.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720" windowHeight="6540" tabRatio="686" firstSheet="1" activeTab="6"/>
  </bookViews>
  <sheets>
    <sheet name="Chart1" sheetId="1" r:id="rId1"/>
    <sheet name="Chart 2" sheetId="2" r:id="rId2"/>
    <sheet name="Matrix 1" sheetId="3" r:id="rId3"/>
    <sheet name="Matrix1a" sheetId="4" r:id="rId4"/>
    <sheet name="Matrix 2" sheetId="5" r:id="rId5"/>
    <sheet name="Matrix 2a" sheetId="6" r:id="rId6"/>
    <sheet name="Matrix 3" sheetId="7" r:id="rId7"/>
    <sheet name="Matrix 4" sheetId="8" r:id="rId8"/>
  </sheets>
  <externalReferences>
    <externalReference r:id="rId11"/>
    <externalReference r:id="rId12"/>
  </externalReferences>
  <definedNames>
    <definedName name="_xlnm.Print_Area" localSheetId="2">'Matrix 1'!$A$1:$GT$167</definedName>
    <definedName name="_xlnm.Print_Area" localSheetId="4">'Matrix 2'!$A$1:$P$61</definedName>
    <definedName name="_xlnm.Print_Area" localSheetId="5">'Matrix 2a'!$A$1:$P$36</definedName>
    <definedName name="_xlnm.Print_Area" localSheetId="6">'Matrix 3'!$A$1:$I$32</definedName>
    <definedName name="_xlnm.Print_Area" localSheetId="7">'Matrix 4'!$A$1:$M$41</definedName>
    <definedName name="_xlnm.Print_Area" localSheetId="3">'Matrix1a'!$1:$52</definedName>
  </definedNames>
  <calcPr fullCalcOnLoad="1"/>
</workbook>
</file>

<file path=xl/comments3.xml><?xml version="1.0" encoding="utf-8"?>
<comments xmlns="http://schemas.openxmlformats.org/spreadsheetml/2006/main">
  <authors>
    <author>jmanji</author>
    <author>Jon Manji</author>
  </authors>
  <commentList>
    <comment ref="I1" authorId="0">
      <text>
        <r>
          <rPr>
            <b/>
            <sz val="8"/>
            <rFont val="Tahoma"/>
            <family val="0"/>
          </rPr>
          <t>jmanji:</t>
        </r>
        <r>
          <rPr>
            <sz val="8"/>
            <rFont val="Tahoma"/>
            <family val="0"/>
          </rPr>
          <t xml:space="preserve">
</t>
        </r>
        <r>
          <rPr>
            <sz val="12"/>
            <rFont val="Tahoma"/>
            <family val="2"/>
          </rPr>
          <t>Date last revised.</t>
        </r>
      </text>
    </comment>
    <comment ref="F19" authorId="0">
      <text>
        <r>
          <rPr>
            <b/>
            <sz val="8"/>
            <rFont val="Tahoma"/>
            <family val="0"/>
          </rPr>
          <t>jmanji:</t>
        </r>
        <r>
          <rPr>
            <sz val="8"/>
            <rFont val="Tahoma"/>
            <family val="0"/>
          </rPr>
          <t xml:space="preserve">
</t>
        </r>
        <r>
          <rPr>
            <sz val="12"/>
            <rFont val="Tahoma"/>
            <family val="2"/>
          </rPr>
          <t>This is the incremental initial cost of compliance; the "hardware"-- retrofit parts and labor, etc. (The initial compliance cost over and above that for using diesel technology.)</t>
        </r>
      </text>
    </comment>
    <comment ref="H19" authorId="0">
      <text>
        <r>
          <rPr>
            <b/>
            <sz val="8"/>
            <rFont val="Tahoma"/>
            <family val="0"/>
          </rPr>
          <t>jmanji:</t>
        </r>
        <r>
          <rPr>
            <sz val="8"/>
            <rFont val="Tahoma"/>
            <family val="0"/>
          </rPr>
          <t xml:space="preserve">
</t>
        </r>
        <r>
          <rPr>
            <sz val="12"/>
            <rFont val="Tahoma"/>
            <family val="2"/>
          </rPr>
          <t xml:space="preserve">This represents necessary ongoing compliance technology maintenance costs in excess of those costs for diesel technology-- examples include additional required maintenance, additive costs, etc., for </t>
        </r>
        <r>
          <rPr>
            <b/>
            <sz val="12"/>
            <rFont val="Tahoma"/>
            <family val="2"/>
          </rPr>
          <t>1,200 Hours/Year of operation.</t>
        </r>
      </text>
    </comment>
    <comment ref="A24" authorId="0">
      <text>
        <r>
          <rPr>
            <b/>
            <sz val="8"/>
            <rFont val="Tahoma"/>
            <family val="0"/>
          </rPr>
          <t>jmanji:</t>
        </r>
        <r>
          <rPr>
            <sz val="8"/>
            <rFont val="Tahoma"/>
            <family val="0"/>
          </rPr>
          <t xml:space="preserve">
</t>
        </r>
        <r>
          <rPr>
            <sz val="12"/>
            <rFont val="Tahoma"/>
            <family val="2"/>
          </rPr>
          <t>These are the TRU/gen set model years that must come into compliance in the  calendar year listed in the next column.</t>
        </r>
      </text>
    </comment>
    <comment ref="L24" authorId="0">
      <text>
        <r>
          <rPr>
            <b/>
            <sz val="8"/>
            <rFont val="Tahoma"/>
            <family val="0"/>
          </rPr>
          <t>jmanji:</t>
        </r>
        <r>
          <rPr>
            <sz val="8"/>
            <rFont val="Tahoma"/>
            <family val="0"/>
          </rPr>
          <t xml:space="preserve">
</t>
        </r>
        <r>
          <rPr>
            <sz val="12"/>
            <rFont val="Tahoma"/>
            <family val="2"/>
          </rPr>
          <t xml:space="preserve">This is the capital cost of the compliance technology, amortized over a ten-year period, using the interest rate given above; that is, the capital cost is converted into a uniform payment series.
 </t>
        </r>
      </text>
    </comment>
    <comment ref="L25" authorId="0">
      <text>
        <r>
          <rPr>
            <b/>
            <sz val="8"/>
            <rFont val="Tahoma"/>
            <family val="0"/>
          </rPr>
          <t>jmanji:</t>
        </r>
        <r>
          <rPr>
            <sz val="8"/>
            <rFont val="Tahoma"/>
            <family val="0"/>
          </rPr>
          <t xml:space="preserve">
</t>
        </r>
        <r>
          <rPr>
            <sz val="12"/>
            <rFont val="Tahoma"/>
            <family val="2"/>
          </rPr>
          <t>0.1295 = capital recovery factor for I = 5% &amp; n = 10 years.</t>
        </r>
      </text>
    </comment>
    <comment ref="K19" authorId="0">
      <text>
        <r>
          <rPr>
            <b/>
            <sz val="8"/>
            <rFont val="Tahoma"/>
            <family val="0"/>
          </rPr>
          <t>jmanji:</t>
        </r>
        <r>
          <rPr>
            <sz val="8"/>
            <rFont val="Tahoma"/>
            <family val="0"/>
          </rPr>
          <t xml:space="preserve">
</t>
        </r>
        <r>
          <rPr>
            <sz val="12"/>
            <rFont val="Tahoma"/>
            <family val="2"/>
          </rPr>
          <t xml:space="preserve">This represents necessary ongoing compliance technology maintenance costs in excess of those costs for diesel technology-- examples include additional required maintenance, additive costs, etc., for </t>
        </r>
        <r>
          <rPr>
            <b/>
            <sz val="12"/>
            <rFont val="Tahoma"/>
            <family val="2"/>
          </rPr>
          <t>1,100 Hours/Year of operation.</t>
        </r>
      </text>
    </comment>
    <comment ref="FC24" authorId="0">
      <text>
        <r>
          <rPr>
            <b/>
            <sz val="8"/>
            <rFont val="Tahoma"/>
            <family val="0"/>
          </rPr>
          <t>jmanji:</t>
        </r>
        <r>
          <rPr>
            <sz val="8"/>
            <rFont val="Tahoma"/>
            <family val="0"/>
          </rPr>
          <t xml:space="preserve">
</t>
        </r>
        <r>
          <rPr>
            <sz val="12"/>
            <rFont val="Tahoma"/>
            <family val="2"/>
          </rPr>
          <t xml:space="preserve">Note: 1,100 Hours/Year Gen Set Usage annual cost figure used here. (As opposed to 1,200/3,000 hr./yr. Annual usage for TRUs.) </t>
        </r>
      </text>
    </comment>
    <comment ref="FP24" authorId="0">
      <text>
        <r>
          <rPr>
            <b/>
            <sz val="8"/>
            <rFont val="Tahoma"/>
            <family val="0"/>
          </rPr>
          <t>jmanji:</t>
        </r>
        <r>
          <rPr>
            <sz val="8"/>
            <rFont val="Tahoma"/>
            <family val="0"/>
          </rPr>
          <t xml:space="preserve">
</t>
        </r>
        <r>
          <rPr>
            <sz val="12"/>
            <rFont val="Tahoma"/>
            <family val="2"/>
          </rPr>
          <t>Note: 1,100 Hours/Year Gen Set Usage annual cost figure used here. (As opposed to 1,200/3,000 hr./yr. Annual usage for TRUs.)</t>
        </r>
      </text>
    </comment>
    <comment ref="K57" authorId="0">
      <text>
        <r>
          <rPr>
            <b/>
            <sz val="8"/>
            <rFont val="Tahoma"/>
            <family val="0"/>
          </rPr>
          <t>jmanji:</t>
        </r>
        <r>
          <rPr>
            <sz val="8"/>
            <rFont val="Tahoma"/>
            <family val="0"/>
          </rPr>
          <t xml:space="preserve">
</t>
        </r>
        <r>
          <rPr>
            <sz val="12"/>
            <rFont val="Tahoma"/>
            <family val="2"/>
          </rPr>
          <t xml:space="preserve">This represents necessary ongoing compliance technology maintenance costs in excess of those costs for diesel technology-- examples include additional required maintenance, additive costs, etc., for </t>
        </r>
        <r>
          <rPr>
            <b/>
            <sz val="12"/>
            <rFont val="Tahoma"/>
            <family val="2"/>
          </rPr>
          <t>1,100 Hours/Year of operation.</t>
        </r>
      </text>
    </comment>
    <comment ref="F57" authorId="0">
      <text>
        <r>
          <rPr>
            <b/>
            <sz val="8"/>
            <rFont val="Tahoma"/>
            <family val="0"/>
          </rPr>
          <t>jmanji:</t>
        </r>
        <r>
          <rPr>
            <sz val="8"/>
            <rFont val="Tahoma"/>
            <family val="0"/>
          </rPr>
          <t xml:space="preserve">
</t>
        </r>
        <r>
          <rPr>
            <sz val="12"/>
            <rFont val="Tahoma"/>
            <family val="2"/>
          </rPr>
          <t>This is the incremental initial cost of compliance; the "hardware"-- retrofit parts and labor, etc. (The initial compliance cost over and above that for using diesel technology.)</t>
        </r>
      </text>
    </comment>
    <comment ref="H57" authorId="0">
      <text>
        <r>
          <rPr>
            <b/>
            <sz val="8"/>
            <rFont val="Tahoma"/>
            <family val="0"/>
          </rPr>
          <t>jmanji:</t>
        </r>
        <r>
          <rPr>
            <sz val="8"/>
            <rFont val="Tahoma"/>
            <family val="0"/>
          </rPr>
          <t xml:space="preserve">
</t>
        </r>
        <r>
          <rPr>
            <sz val="12"/>
            <rFont val="Tahoma"/>
            <family val="2"/>
          </rPr>
          <t xml:space="preserve">This represents necessary ongoing compliance technology maintenance costs in excess of those costs for diesel technology-- examples include additional required maintenance, additive costs, etc., for </t>
        </r>
        <r>
          <rPr>
            <b/>
            <sz val="12"/>
            <rFont val="Tahoma"/>
            <family val="2"/>
          </rPr>
          <t>3,000</t>
        </r>
        <r>
          <rPr>
            <sz val="12"/>
            <rFont val="Tahoma"/>
            <family val="2"/>
          </rPr>
          <t xml:space="preserve"> </t>
        </r>
        <r>
          <rPr>
            <b/>
            <sz val="12"/>
            <rFont val="Tahoma"/>
            <family val="2"/>
          </rPr>
          <t>Hours/Year of operation</t>
        </r>
        <r>
          <rPr>
            <sz val="12"/>
            <rFont val="Tahoma"/>
            <family val="2"/>
          </rPr>
          <t xml:space="preserve">.
</t>
        </r>
      </text>
    </comment>
    <comment ref="FC62" authorId="0">
      <text>
        <r>
          <rPr>
            <b/>
            <sz val="8"/>
            <rFont val="Tahoma"/>
            <family val="0"/>
          </rPr>
          <t>jmanji:</t>
        </r>
        <r>
          <rPr>
            <sz val="8"/>
            <rFont val="Tahoma"/>
            <family val="0"/>
          </rPr>
          <t xml:space="preserve">
</t>
        </r>
        <r>
          <rPr>
            <sz val="12"/>
            <rFont val="Tahoma"/>
            <family val="2"/>
          </rPr>
          <t xml:space="preserve">Note: 1,100 Hours/Year Gen Set Usage annual cost figure used here. (As opposed to 1,200/3,000 hr./yr. Annual usage for TRUs.) </t>
        </r>
      </text>
    </comment>
    <comment ref="FP62" authorId="0">
      <text>
        <r>
          <rPr>
            <b/>
            <sz val="8"/>
            <rFont val="Tahoma"/>
            <family val="0"/>
          </rPr>
          <t>jmanji:</t>
        </r>
        <r>
          <rPr>
            <sz val="8"/>
            <rFont val="Tahoma"/>
            <family val="0"/>
          </rPr>
          <t xml:space="preserve">
</t>
        </r>
        <r>
          <rPr>
            <sz val="12"/>
            <rFont val="Tahoma"/>
            <family val="2"/>
          </rPr>
          <t>Note: 1,100 Hours/Year Gen Set Usage annual cost figure used here. (As opposed to 1,200/3,000 hr./yr. Annual usage for TRUs.)</t>
        </r>
      </text>
    </comment>
    <comment ref="H95" authorId="0">
      <text>
        <r>
          <rPr>
            <b/>
            <sz val="8"/>
            <rFont val="Tahoma"/>
            <family val="0"/>
          </rPr>
          <t>jmanji:</t>
        </r>
        <r>
          <rPr>
            <sz val="8"/>
            <rFont val="Tahoma"/>
            <family val="0"/>
          </rPr>
          <t xml:space="preserve">
</t>
        </r>
        <r>
          <rPr>
            <sz val="12"/>
            <rFont val="Tahoma"/>
            <family val="2"/>
          </rPr>
          <t xml:space="preserve">This represents necessary ongoing compliance technology maintenance costs in excess of those costs for diesel technology-- examples include additional required maintenance, additive costs, etc., for </t>
        </r>
        <r>
          <rPr>
            <b/>
            <sz val="12"/>
            <rFont val="Tahoma"/>
            <family val="2"/>
          </rPr>
          <t>1,200 Hours/Year of operation.</t>
        </r>
      </text>
    </comment>
    <comment ref="H134" authorId="0">
      <text>
        <r>
          <rPr>
            <b/>
            <sz val="8"/>
            <rFont val="Tahoma"/>
            <family val="0"/>
          </rPr>
          <t>jmanji:</t>
        </r>
        <r>
          <rPr>
            <sz val="8"/>
            <rFont val="Tahoma"/>
            <family val="0"/>
          </rPr>
          <t xml:space="preserve">
</t>
        </r>
        <r>
          <rPr>
            <sz val="12"/>
            <rFont val="Tahoma"/>
            <family val="2"/>
          </rPr>
          <t xml:space="preserve">This represents necessary ongoing compliance technology maintenance costs in excess of those costs for diesel technology-- examples include additional required maintenance, additive costs, etc., for </t>
        </r>
        <r>
          <rPr>
            <b/>
            <sz val="12"/>
            <rFont val="Tahoma"/>
            <family val="2"/>
          </rPr>
          <t>1,200 Hours/Year of operation.</t>
        </r>
      </text>
    </comment>
    <comment ref="F95" authorId="0">
      <text>
        <r>
          <rPr>
            <b/>
            <sz val="8"/>
            <rFont val="Tahoma"/>
            <family val="0"/>
          </rPr>
          <t>jmanji:</t>
        </r>
        <r>
          <rPr>
            <sz val="8"/>
            <rFont val="Tahoma"/>
            <family val="0"/>
          </rPr>
          <t xml:space="preserve">
</t>
        </r>
        <r>
          <rPr>
            <sz val="12"/>
            <rFont val="Tahoma"/>
            <family val="2"/>
          </rPr>
          <t>This is the incremental initial cost of compliance; the "hardware"-- retrofit parts and labor, etc. (The initial compliance cost over and above that for using diesel technology.)</t>
        </r>
      </text>
    </comment>
    <comment ref="F134" authorId="0">
      <text>
        <r>
          <rPr>
            <b/>
            <sz val="8"/>
            <rFont val="Tahoma"/>
            <family val="0"/>
          </rPr>
          <t>jmanji:</t>
        </r>
        <r>
          <rPr>
            <sz val="8"/>
            <rFont val="Tahoma"/>
            <family val="0"/>
          </rPr>
          <t xml:space="preserve">
</t>
        </r>
        <r>
          <rPr>
            <sz val="12"/>
            <rFont val="Tahoma"/>
            <family val="2"/>
          </rPr>
          <t>This is the incremental initial cost of compliance; the "hardware"-- retrofit parts and labor, etc. (The initial compliance cost over and above that for using diesel technology.)</t>
        </r>
      </text>
    </comment>
    <comment ref="A1" authorId="0">
      <text>
        <r>
          <rPr>
            <b/>
            <sz val="8"/>
            <rFont val="Tahoma"/>
            <family val="0"/>
          </rPr>
          <t>jmanji:</t>
        </r>
        <r>
          <rPr>
            <sz val="8"/>
            <rFont val="Tahoma"/>
            <family val="0"/>
          </rPr>
          <t xml:space="preserve">
</t>
        </r>
        <r>
          <rPr>
            <sz val="12"/>
            <rFont val="Tahoma"/>
            <family val="2"/>
          </rPr>
          <t>This Matrix calculates the in-use cost of compliance for TRUs and TRU gen sets ("TRUs".)  It takes the annual TRU population numbers (the same as used for emissions inventory purposes) and multiplies them by the capital and annual costs for the compliance technology shown.  The total annual cost for a given year is shown on the right-hand side of the spreadsheet.
The capital costs are amortized over an assumed ten-year useful life for the compliance strategy, and all annual costs are converted to constant year (2002) dollars using standard present worth analysis techniques.
Four different scenarios are shown, the first two are the low and high cost ends of the range of expected in-use compliance costs, and the last two are the alternative technologies examined for the economic impact statement in the Form 399.</t>
        </r>
      </text>
    </comment>
    <comment ref="A62" authorId="0">
      <text>
        <r>
          <rPr>
            <b/>
            <sz val="8"/>
            <rFont val="Tahoma"/>
            <family val="0"/>
          </rPr>
          <t>jmanji:</t>
        </r>
        <r>
          <rPr>
            <sz val="8"/>
            <rFont val="Tahoma"/>
            <family val="0"/>
          </rPr>
          <t xml:space="preserve">
</t>
        </r>
        <r>
          <rPr>
            <sz val="12"/>
            <rFont val="Tahoma"/>
            <family val="2"/>
          </rPr>
          <t>These are the TRU/gen set model years that must come into compliance in the  calendar year listed in the next column.</t>
        </r>
      </text>
    </comment>
    <comment ref="A100" authorId="0">
      <text>
        <r>
          <rPr>
            <b/>
            <sz val="8"/>
            <rFont val="Tahoma"/>
            <family val="0"/>
          </rPr>
          <t>jmanji:</t>
        </r>
        <r>
          <rPr>
            <sz val="8"/>
            <rFont val="Tahoma"/>
            <family val="0"/>
          </rPr>
          <t xml:space="preserve">
</t>
        </r>
        <r>
          <rPr>
            <sz val="12"/>
            <rFont val="Tahoma"/>
            <family val="2"/>
          </rPr>
          <t>These are the TRU/gen set model years that must come into compliance in the  calendar year listed in the next column.</t>
        </r>
      </text>
    </comment>
    <comment ref="A139" authorId="0">
      <text>
        <r>
          <rPr>
            <b/>
            <sz val="8"/>
            <rFont val="Tahoma"/>
            <family val="0"/>
          </rPr>
          <t>jmanji:</t>
        </r>
        <r>
          <rPr>
            <sz val="8"/>
            <rFont val="Tahoma"/>
            <family val="0"/>
          </rPr>
          <t xml:space="preserve">
</t>
        </r>
        <r>
          <rPr>
            <sz val="12"/>
            <rFont val="Tahoma"/>
            <family val="2"/>
          </rPr>
          <t>These are the TRU/gen set model years that must come into compliance in the  calendar year listed in the next column.</t>
        </r>
      </text>
    </comment>
    <comment ref="L62" authorId="0">
      <text>
        <r>
          <rPr>
            <b/>
            <sz val="8"/>
            <rFont val="Tahoma"/>
            <family val="0"/>
          </rPr>
          <t>jmanji:</t>
        </r>
        <r>
          <rPr>
            <sz val="8"/>
            <rFont val="Tahoma"/>
            <family val="0"/>
          </rPr>
          <t xml:space="preserve">
</t>
        </r>
        <r>
          <rPr>
            <sz val="12"/>
            <rFont val="Tahoma"/>
            <family val="2"/>
          </rPr>
          <t xml:space="preserve">This is the capital cost of the compliance technology, amortized over a ten-year period, using the interest rate given above; that is, the capital cost is converted into a uniform payment series.
</t>
        </r>
      </text>
    </comment>
    <comment ref="L100" authorId="0">
      <text>
        <r>
          <rPr>
            <b/>
            <sz val="8"/>
            <rFont val="Tahoma"/>
            <family val="0"/>
          </rPr>
          <t>jmanji:</t>
        </r>
        <r>
          <rPr>
            <sz val="8"/>
            <rFont val="Tahoma"/>
            <family val="0"/>
          </rPr>
          <t xml:space="preserve">
</t>
        </r>
        <r>
          <rPr>
            <sz val="12"/>
            <rFont val="Tahoma"/>
            <family val="2"/>
          </rPr>
          <t xml:space="preserve">This is the capital cost of the compliance technology, amortized over a ten-year period, using the interest rate given above; that is, the capital cost is converted into a uniform payment series.
</t>
        </r>
      </text>
    </comment>
    <comment ref="L139" authorId="0">
      <text>
        <r>
          <rPr>
            <b/>
            <sz val="8"/>
            <rFont val="Tahoma"/>
            <family val="0"/>
          </rPr>
          <t>jmanji:</t>
        </r>
        <r>
          <rPr>
            <sz val="8"/>
            <rFont val="Tahoma"/>
            <family val="0"/>
          </rPr>
          <t xml:space="preserve">
</t>
        </r>
        <r>
          <rPr>
            <sz val="12"/>
            <rFont val="Tahoma"/>
            <family val="2"/>
          </rPr>
          <t xml:space="preserve">This is the capital cost of the compliance technology, amortized over a ten-year period, using the interest rate given above; that is, the capital cost is converted into a uniform payment series.
</t>
        </r>
      </text>
    </comment>
    <comment ref="GR139" authorId="1">
      <text>
        <r>
          <rPr>
            <b/>
            <sz val="8"/>
            <rFont val="Tahoma"/>
            <family val="0"/>
          </rPr>
          <t>Jon Manji:</t>
        </r>
        <r>
          <rPr>
            <sz val="8"/>
            <rFont val="Tahoma"/>
            <family val="0"/>
          </rPr>
          <t xml:space="preserve">
</t>
        </r>
        <r>
          <rPr>
            <sz val="12"/>
            <rFont val="Tahoma"/>
            <family val="2"/>
          </rPr>
          <t>NOT adjusted for the time value of money.</t>
        </r>
      </text>
    </comment>
    <comment ref="GP139" authorId="1">
      <text>
        <r>
          <rPr>
            <b/>
            <sz val="8"/>
            <rFont val="Tahoma"/>
            <family val="0"/>
          </rPr>
          <t>Jon Manji:</t>
        </r>
        <r>
          <rPr>
            <sz val="8"/>
            <rFont val="Tahoma"/>
            <family val="0"/>
          </rPr>
          <t xml:space="preserve">
</t>
        </r>
        <r>
          <rPr>
            <sz val="12"/>
            <rFont val="Tahoma"/>
            <family val="2"/>
          </rPr>
          <t>NOT adjusted for the time value of money.</t>
        </r>
      </text>
    </comment>
    <comment ref="CZ139" authorId="1">
      <text>
        <r>
          <rPr>
            <b/>
            <sz val="8"/>
            <rFont val="Tahoma"/>
            <family val="0"/>
          </rPr>
          <t>Jon Manji:</t>
        </r>
        <r>
          <rPr>
            <sz val="8"/>
            <rFont val="Tahoma"/>
            <family val="0"/>
          </rPr>
          <t xml:space="preserve">
</t>
        </r>
        <r>
          <rPr>
            <sz val="12"/>
            <rFont val="Tahoma"/>
            <family val="2"/>
          </rPr>
          <t>NOT adjusted for the time value of money.</t>
        </r>
      </text>
    </comment>
    <comment ref="GR24" authorId="1">
      <text>
        <r>
          <rPr>
            <b/>
            <sz val="8"/>
            <rFont val="Tahoma"/>
            <family val="0"/>
          </rPr>
          <t>Jon Manji:</t>
        </r>
        <r>
          <rPr>
            <sz val="8"/>
            <rFont val="Tahoma"/>
            <family val="0"/>
          </rPr>
          <t xml:space="preserve">
</t>
        </r>
        <r>
          <rPr>
            <sz val="12"/>
            <rFont val="Tahoma"/>
            <family val="2"/>
          </rPr>
          <t>NOT adjusted for the time value of money.</t>
        </r>
      </text>
    </comment>
    <comment ref="GP24" authorId="1">
      <text>
        <r>
          <rPr>
            <b/>
            <sz val="8"/>
            <rFont val="Tahoma"/>
            <family val="0"/>
          </rPr>
          <t>Jon Manji:</t>
        </r>
        <r>
          <rPr>
            <sz val="8"/>
            <rFont val="Tahoma"/>
            <family val="0"/>
          </rPr>
          <t xml:space="preserve">
</t>
        </r>
        <r>
          <rPr>
            <sz val="12"/>
            <rFont val="Tahoma"/>
            <family val="2"/>
          </rPr>
          <t>NOT adjusted for the time value of money.</t>
        </r>
      </text>
    </comment>
    <comment ref="CZ24" authorId="1">
      <text>
        <r>
          <rPr>
            <b/>
            <sz val="8"/>
            <rFont val="Tahoma"/>
            <family val="0"/>
          </rPr>
          <t>Jon Manji:</t>
        </r>
        <r>
          <rPr>
            <sz val="8"/>
            <rFont val="Tahoma"/>
            <family val="0"/>
          </rPr>
          <t xml:space="preserve">
</t>
        </r>
        <r>
          <rPr>
            <sz val="12"/>
            <rFont val="Tahoma"/>
            <family val="2"/>
          </rPr>
          <t>NOT adjusted for the time value of money.</t>
        </r>
      </text>
    </comment>
    <comment ref="GR62" authorId="1">
      <text>
        <r>
          <rPr>
            <b/>
            <sz val="8"/>
            <rFont val="Tahoma"/>
            <family val="0"/>
          </rPr>
          <t>Jon Manji:</t>
        </r>
        <r>
          <rPr>
            <sz val="8"/>
            <rFont val="Tahoma"/>
            <family val="0"/>
          </rPr>
          <t xml:space="preserve">
</t>
        </r>
        <r>
          <rPr>
            <sz val="12"/>
            <rFont val="Tahoma"/>
            <family val="2"/>
          </rPr>
          <t>NOT adjusted for the time value of money.</t>
        </r>
      </text>
    </comment>
    <comment ref="GP62" authorId="1">
      <text>
        <r>
          <rPr>
            <b/>
            <sz val="8"/>
            <rFont val="Tahoma"/>
            <family val="0"/>
          </rPr>
          <t>Jon Manji:</t>
        </r>
        <r>
          <rPr>
            <sz val="8"/>
            <rFont val="Tahoma"/>
            <family val="0"/>
          </rPr>
          <t xml:space="preserve">
</t>
        </r>
        <r>
          <rPr>
            <sz val="12"/>
            <rFont val="Tahoma"/>
            <family val="2"/>
          </rPr>
          <t>NOT adjusted for the time value of money.</t>
        </r>
      </text>
    </comment>
    <comment ref="CZ62" authorId="1">
      <text>
        <r>
          <rPr>
            <b/>
            <sz val="8"/>
            <rFont val="Tahoma"/>
            <family val="0"/>
          </rPr>
          <t>Jon Manji:</t>
        </r>
        <r>
          <rPr>
            <sz val="8"/>
            <rFont val="Tahoma"/>
            <family val="0"/>
          </rPr>
          <t xml:space="preserve">
</t>
        </r>
        <r>
          <rPr>
            <sz val="12"/>
            <rFont val="Tahoma"/>
            <family val="2"/>
          </rPr>
          <t>NOT adjusted for the time value of money.</t>
        </r>
      </text>
    </comment>
    <comment ref="CZ100" authorId="1">
      <text>
        <r>
          <rPr>
            <b/>
            <sz val="8"/>
            <rFont val="Tahoma"/>
            <family val="0"/>
          </rPr>
          <t>Jon Manji:</t>
        </r>
        <r>
          <rPr>
            <sz val="8"/>
            <rFont val="Tahoma"/>
            <family val="0"/>
          </rPr>
          <t xml:space="preserve">
</t>
        </r>
        <r>
          <rPr>
            <sz val="12"/>
            <rFont val="Tahoma"/>
            <family val="2"/>
          </rPr>
          <t>NOT adjusted for the time value of money.</t>
        </r>
      </text>
    </comment>
    <comment ref="GP100" authorId="1">
      <text>
        <r>
          <rPr>
            <b/>
            <sz val="8"/>
            <rFont val="Tahoma"/>
            <family val="0"/>
          </rPr>
          <t>Jon Manji:</t>
        </r>
        <r>
          <rPr>
            <sz val="8"/>
            <rFont val="Tahoma"/>
            <family val="0"/>
          </rPr>
          <t xml:space="preserve">
</t>
        </r>
        <r>
          <rPr>
            <sz val="12"/>
            <rFont val="Tahoma"/>
            <family val="2"/>
          </rPr>
          <t>NOT adjusted for the time value of money.</t>
        </r>
      </text>
    </comment>
    <comment ref="GR100" authorId="1">
      <text>
        <r>
          <rPr>
            <b/>
            <sz val="8"/>
            <rFont val="Tahoma"/>
            <family val="0"/>
          </rPr>
          <t>Jon Manji:</t>
        </r>
        <r>
          <rPr>
            <sz val="8"/>
            <rFont val="Tahoma"/>
            <family val="0"/>
          </rPr>
          <t xml:space="preserve">
</t>
        </r>
        <r>
          <rPr>
            <sz val="12"/>
            <rFont val="Tahoma"/>
            <family val="2"/>
          </rPr>
          <t>NOT adjusted for the time value of money.</t>
        </r>
      </text>
    </comment>
    <comment ref="DB62" authorId="1">
      <text>
        <r>
          <rPr>
            <b/>
            <sz val="8"/>
            <rFont val="Tahoma"/>
            <family val="0"/>
          </rPr>
          <t>Jon Manji:</t>
        </r>
        <r>
          <rPr>
            <sz val="8"/>
            <rFont val="Tahoma"/>
            <family val="0"/>
          </rPr>
          <t xml:space="preserve">
</t>
        </r>
        <r>
          <rPr>
            <sz val="12"/>
            <rFont val="Tahoma"/>
            <family val="2"/>
          </rPr>
          <t>Cost varies, depending on LETRU or ULETRU compliance.</t>
        </r>
      </text>
    </comment>
    <comment ref="DB24" authorId="1">
      <text>
        <r>
          <rPr>
            <b/>
            <sz val="8"/>
            <rFont val="Tahoma"/>
            <family val="0"/>
          </rPr>
          <t>Jon Manji:</t>
        </r>
        <r>
          <rPr>
            <sz val="8"/>
            <rFont val="Tahoma"/>
            <family val="0"/>
          </rPr>
          <t xml:space="preserve">
</t>
        </r>
        <r>
          <rPr>
            <sz val="12"/>
            <rFont val="Tahoma"/>
            <family val="2"/>
          </rPr>
          <t>Cost varies, depending on LETRU or ULETRU compliance.</t>
        </r>
      </text>
    </comment>
    <comment ref="DB100" authorId="1">
      <text>
        <r>
          <rPr>
            <b/>
            <sz val="8"/>
            <rFont val="Tahoma"/>
            <family val="0"/>
          </rPr>
          <t>Jon Manji:</t>
        </r>
        <r>
          <rPr>
            <sz val="8"/>
            <rFont val="Tahoma"/>
            <family val="0"/>
          </rPr>
          <t xml:space="preserve">
</t>
        </r>
        <r>
          <rPr>
            <sz val="12"/>
            <rFont val="Tahoma"/>
            <family val="2"/>
          </rPr>
          <t>Cost varies, depending on LETRU or ULETRU compliance.</t>
        </r>
      </text>
    </comment>
    <comment ref="DB139" authorId="1">
      <text>
        <r>
          <rPr>
            <b/>
            <sz val="8"/>
            <rFont val="Tahoma"/>
            <family val="0"/>
          </rPr>
          <t>Jon Manji:</t>
        </r>
        <r>
          <rPr>
            <sz val="8"/>
            <rFont val="Tahoma"/>
            <family val="0"/>
          </rPr>
          <t xml:space="preserve">
</t>
        </r>
        <r>
          <rPr>
            <sz val="12"/>
            <rFont val="Tahoma"/>
            <family val="2"/>
          </rPr>
          <t>Cost varies, depending on LETRU or ULETRU compliance.</t>
        </r>
      </text>
    </comment>
    <comment ref="L63" authorId="0">
      <text>
        <r>
          <rPr>
            <b/>
            <sz val="8"/>
            <rFont val="Tahoma"/>
            <family val="0"/>
          </rPr>
          <t>jmanji:</t>
        </r>
        <r>
          <rPr>
            <sz val="8"/>
            <rFont val="Tahoma"/>
            <family val="0"/>
          </rPr>
          <t xml:space="preserve">
</t>
        </r>
        <r>
          <rPr>
            <sz val="12"/>
            <rFont val="Tahoma"/>
            <family val="2"/>
          </rPr>
          <t>0.1295 = capital recovery factor for I = 5% &amp; n = 10 years.</t>
        </r>
      </text>
    </comment>
    <comment ref="L101" authorId="0">
      <text>
        <r>
          <rPr>
            <b/>
            <sz val="8"/>
            <rFont val="Tahoma"/>
            <family val="0"/>
          </rPr>
          <t>jmanji:</t>
        </r>
        <r>
          <rPr>
            <sz val="8"/>
            <rFont val="Tahoma"/>
            <family val="0"/>
          </rPr>
          <t xml:space="preserve">
</t>
        </r>
        <r>
          <rPr>
            <sz val="12"/>
            <rFont val="Tahoma"/>
            <family val="2"/>
          </rPr>
          <t>0.1295 = capital recovery factor for I = 5% &amp; n = 10 years.</t>
        </r>
      </text>
    </comment>
    <comment ref="L140" authorId="0">
      <text>
        <r>
          <rPr>
            <b/>
            <sz val="8"/>
            <rFont val="Tahoma"/>
            <family val="0"/>
          </rPr>
          <t>jmanji:</t>
        </r>
        <r>
          <rPr>
            <sz val="8"/>
            <rFont val="Tahoma"/>
            <family val="0"/>
          </rPr>
          <t xml:space="preserve">
</t>
        </r>
        <r>
          <rPr>
            <sz val="12"/>
            <rFont val="Tahoma"/>
            <family val="2"/>
          </rPr>
          <t>0.1295 = capital recovery factor for I = 5% &amp; n = 10 years.</t>
        </r>
      </text>
    </comment>
  </commentList>
</comments>
</file>

<file path=xl/comments4.xml><?xml version="1.0" encoding="utf-8"?>
<comments xmlns="http://schemas.openxmlformats.org/spreadsheetml/2006/main">
  <authors>
    <author>jmanji</author>
    <author>Jon Manji</author>
  </authors>
  <commentList>
    <comment ref="A1" authorId="0">
      <text>
        <r>
          <rPr>
            <b/>
            <sz val="8"/>
            <rFont val="Tahoma"/>
            <family val="0"/>
          </rPr>
          <t>jmanji:</t>
        </r>
        <r>
          <rPr>
            <sz val="8"/>
            <rFont val="Tahoma"/>
            <family val="0"/>
          </rPr>
          <t xml:space="preserve">
</t>
        </r>
        <r>
          <rPr>
            <sz val="12"/>
            <rFont val="Tahoma"/>
            <family val="2"/>
          </rPr>
          <t>This Matrix calculates the in-use cost of compliance for TRUs and TRU gen sets ("TRUs".)  It takes the annual TRU population numbers (the same as used for emissions inventory purposes) and multiplies them by the capital and annual costs for the compliance technology shown.  The total annual cost for a given year is shown on the right-hand side of the spreadsheet.
The capital costs are amortized over an assumed ten-year useful life for the compliance strategy, and all annual costs are converted to constant year (2002) dollars using standard present worth analysis techniques.
Four different scenarios are shown, the first two are the low and high cost ends of the range of expected in-use compliance costs, and the last two are the alternative technologies examined for the economic impact statement in the Form 399.</t>
        </r>
      </text>
    </comment>
    <comment ref="I1" authorId="0">
      <text>
        <r>
          <rPr>
            <b/>
            <sz val="8"/>
            <rFont val="Tahoma"/>
            <family val="0"/>
          </rPr>
          <t>jmanji:</t>
        </r>
        <r>
          <rPr>
            <sz val="8"/>
            <rFont val="Tahoma"/>
            <family val="0"/>
          </rPr>
          <t xml:space="preserve">
</t>
        </r>
        <r>
          <rPr>
            <sz val="12"/>
            <rFont val="Tahoma"/>
            <family val="2"/>
          </rPr>
          <t>Date last revised.</t>
        </r>
      </text>
    </comment>
    <comment ref="F20" authorId="0">
      <text>
        <r>
          <rPr>
            <b/>
            <sz val="8"/>
            <rFont val="Tahoma"/>
            <family val="0"/>
          </rPr>
          <t>jmanji:</t>
        </r>
        <r>
          <rPr>
            <sz val="8"/>
            <rFont val="Tahoma"/>
            <family val="0"/>
          </rPr>
          <t xml:space="preserve">
</t>
        </r>
        <r>
          <rPr>
            <sz val="12"/>
            <rFont val="Tahoma"/>
            <family val="2"/>
          </rPr>
          <t>This is the incremental initial cost of compliance; the "hardware"-- retrofit parts and labor, etc. (The initial compliance cost over and above that for using diesel technology.)</t>
        </r>
      </text>
    </comment>
    <comment ref="H20" authorId="0">
      <text>
        <r>
          <rPr>
            <b/>
            <sz val="8"/>
            <rFont val="Tahoma"/>
            <family val="0"/>
          </rPr>
          <t>jmanji:</t>
        </r>
        <r>
          <rPr>
            <sz val="8"/>
            <rFont val="Tahoma"/>
            <family val="0"/>
          </rPr>
          <t xml:space="preserve">
</t>
        </r>
        <r>
          <rPr>
            <sz val="12"/>
            <rFont val="Tahoma"/>
            <family val="2"/>
          </rPr>
          <t xml:space="preserve">This represents necessary ongoing compliance technology maintenance costs in excess of those costs for diesel technology-- examples include additional required maintenance, additive costs, etc., for the following amount of annual operation:  </t>
        </r>
        <r>
          <rPr>
            <b/>
            <sz val="12"/>
            <rFont val="Tahoma"/>
            <family val="2"/>
          </rPr>
          <t>1,100 Hours/Year for TRU Gen Sets, 3,000 Hours/Year for TRUs.</t>
        </r>
      </text>
    </comment>
    <comment ref="A33" authorId="0">
      <text>
        <r>
          <rPr>
            <b/>
            <sz val="8"/>
            <rFont val="Tahoma"/>
            <family val="0"/>
          </rPr>
          <t>jmanji:</t>
        </r>
        <r>
          <rPr>
            <sz val="8"/>
            <rFont val="Tahoma"/>
            <family val="0"/>
          </rPr>
          <t xml:space="preserve">
</t>
        </r>
        <r>
          <rPr>
            <sz val="12"/>
            <rFont val="Tahoma"/>
            <family val="2"/>
          </rPr>
          <t>These are the TRU/gen set model years that must come into compliance in the  calendar year listed in the next column.</t>
        </r>
      </text>
    </comment>
    <comment ref="IQ33" authorId="1">
      <text>
        <r>
          <rPr>
            <b/>
            <sz val="8"/>
            <rFont val="Tahoma"/>
            <family val="0"/>
          </rPr>
          <t>Jon Manji:</t>
        </r>
        <r>
          <rPr>
            <sz val="8"/>
            <rFont val="Tahoma"/>
            <family val="0"/>
          </rPr>
          <t xml:space="preserve">
</t>
        </r>
        <r>
          <rPr>
            <sz val="12"/>
            <rFont val="Tahoma"/>
            <family val="2"/>
          </rPr>
          <t>Cost varies, depending on LETRU or ULETRU compliance.</t>
        </r>
      </text>
    </comment>
    <comment ref="L33" authorId="1">
      <text>
        <r>
          <rPr>
            <b/>
            <sz val="8"/>
            <rFont val="Tahoma"/>
            <family val="0"/>
          </rPr>
          <t>Jon Manji:</t>
        </r>
        <r>
          <rPr>
            <sz val="8"/>
            <rFont val="Tahoma"/>
            <family val="0"/>
          </rPr>
          <t xml:space="preserve">
</t>
        </r>
        <r>
          <rPr>
            <sz val="12"/>
            <rFont val="Tahoma"/>
            <family val="2"/>
          </rPr>
          <t>This column multiplies the engine population for this category by the initial cost by the annual payment factor of 0.1295 (I=5%, n=10.)</t>
        </r>
      </text>
    </comment>
    <comment ref="AC33" authorId="1">
      <text>
        <r>
          <rPr>
            <b/>
            <sz val="8"/>
            <rFont val="Tahoma"/>
            <family val="0"/>
          </rPr>
          <t>Jon Manji:</t>
        </r>
        <r>
          <rPr>
            <sz val="8"/>
            <rFont val="Tahoma"/>
            <family val="0"/>
          </rPr>
          <t xml:space="preserve">
</t>
        </r>
        <r>
          <rPr>
            <sz val="12"/>
            <rFont val="Tahoma"/>
            <family val="2"/>
          </rPr>
          <t>This column multiplies the engine population for this category by the loss of use factor and initial cost by the annual payment factor of 0.1295 (I=5%, n=10.)</t>
        </r>
      </text>
    </comment>
    <comment ref="AA33" authorId="1">
      <text>
        <r>
          <rPr>
            <b/>
            <sz val="8"/>
            <rFont val="Tahoma"/>
            <family val="0"/>
          </rPr>
          <t>Jon Manji:</t>
        </r>
        <r>
          <rPr>
            <sz val="8"/>
            <rFont val="Tahoma"/>
            <family val="0"/>
          </rPr>
          <t xml:space="preserve">
</t>
        </r>
        <r>
          <rPr>
            <sz val="12"/>
            <rFont val="Tahoma"/>
            <family val="2"/>
          </rPr>
          <t>This column multiplies the engine population for this category by the initial cost by the annual payment factor of 0.1295 (I=5%, n=10.)</t>
        </r>
      </text>
    </comment>
    <comment ref="AR33" authorId="1">
      <text>
        <r>
          <rPr>
            <b/>
            <sz val="8"/>
            <rFont val="Tahoma"/>
            <family val="0"/>
          </rPr>
          <t>Jon Manji:</t>
        </r>
        <r>
          <rPr>
            <sz val="8"/>
            <rFont val="Tahoma"/>
            <family val="0"/>
          </rPr>
          <t xml:space="preserve">
</t>
        </r>
        <r>
          <rPr>
            <sz val="12"/>
            <rFont val="Tahoma"/>
            <family val="2"/>
          </rPr>
          <t>This column multiplies the engine population for this category by the loss of use factor and initial cost by the annual payment factor of 0.1295 (I=5%, n=10.)</t>
        </r>
      </text>
    </comment>
  </commentList>
</comments>
</file>

<file path=xl/comments5.xml><?xml version="1.0" encoding="utf-8"?>
<comments xmlns="http://schemas.openxmlformats.org/spreadsheetml/2006/main">
  <authors>
    <author>jmanji</author>
    <author>Jon Manji</author>
  </authors>
  <commentList>
    <comment ref="B2" authorId="0">
      <text>
        <r>
          <rPr>
            <b/>
            <sz val="8"/>
            <rFont val="Tahoma"/>
            <family val="0"/>
          </rPr>
          <t>jmanji:</t>
        </r>
        <r>
          <rPr>
            <sz val="8"/>
            <rFont val="Tahoma"/>
            <family val="0"/>
          </rPr>
          <t xml:space="preserve">
</t>
        </r>
        <r>
          <rPr>
            <sz val="12"/>
            <rFont val="Tahoma"/>
            <family val="2"/>
          </rPr>
          <t>Last revision date.</t>
        </r>
      </text>
    </comment>
    <comment ref="A1" authorId="1">
      <text>
        <r>
          <rPr>
            <b/>
            <sz val="8"/>
            <rFont val="Tahoma"/>
            <family val="0"/>
          </rPr>
          <t>Jon Manji:</t>
        </r>
        <r>
          <rPr>
            <sz val="8"/>
            <rFont val="Tahoma"/>
            <family val="0"/>
          </rPr>
          <t xml:space="preserve">
</t>
        </r>
        <r>
          <rPr>
            <sz val="9"/>
            <rFont val="Tahoma"/>
            <family val="2"/>
          </rPr>
          <t>This spreadsheet calculates the range of cost-effectiveness for PM for the ATCM.
The low-cost scenario represents the lower end of the range, and the high-cost scenario represents the upper bound of the range.
The cost of the in-use compliance strategies and the operator reporting requirements and a payment for the 2008 in-use compliance costs are summed to give a total annual compliance cost.  Since the cost of the operator reporting requirements will vary according to the number of TRUs operated by a given business, this cost is expressed as a range, and is used to establish an upper and lower cost within each scenario.  Each annual cost is divided into the corresponding year's PM reduction attributable to the regulation to arrive at a cost-effectiveness figure expressed in dollars per pound of PM.
The 2008 in-use cost payment adjustment is a means of including the 2008 compliance costs in the cost-effectiveness analysis since a cost-effectiveness value cannot be calculated for that year due to zero PM emissions benefit in that year (can't divide a cost figure into zero emission benefits.)  The 2008 cost figure is converted into 2009 dollars using a single payment factor, and then is converted into a unform payment series using a 5% interest rate and twelve-year period (2009-2020.)</t>
        </r>
      </text>
    </comment>
    <comment ref="B40" authorId="0">
      <text>
        <r>
          <rPr>
            <b/>
            <sz val="8"/>
            <rFont val="Tahoma"/>
            <family val="0"/>
          </rPr>
          <t>jmanji:</t>
        </r>
        <r>
          <rPr>
            <sz val="8"/>
            <rFont val="Tahoma"/>
            <family val="0"/>
          </rPr>
          <t xml:space="preserve">
</t>
        </r>
        <r>
          <rPr>
            <sz val="12"/>
            <rFont val="Tahoma"/>
            <family val="2"/>
          </rPr>
          <t>From Table D-1</t>
        </r>
      </text>
    </comment>
    <comment ref="B12" authorId="0">
      <text>
        <r>
          <rPr>
            <b/>
            <sz val="8"/>
            <rFont val="Tahoma"/>
            <family val="0"/>
          </rPr>
          <t>jmanji:</t>
        </r>
        <r>
          <rPr>
            <sz val="8"/>
            <rFont val="Tahoma"/>
            <family val="0"/>
          </rPr>
          <t xml:space="preserve">
</t>
        </r>
        <r>
          <rPr>
            <sz val="12"/>
            <rFont val="Tahoma"/>
            <family val="2"/>
          </rPr>
          <t>From Table D-1</t>
        </r>
      </text>
    </comment>
    <comment ref="C12" authorId="0">
      <text>
        <r>
          <rPr>
            <b/>
            <sz val="8"/>
            <rFont val="Tahoma"/>
            <family val="0"/>
          </rPr>
          <t>jmanji:</t>
        </r>
        <r>
          <rPr>
            <sz val="8"/>
            <rFont val="Tahoma"/>
            <family val="0"/>
          </rPr>
          <t xml:space="preserve">
</t>
        </r>
        <r>
          <rPr>
            <sz val="12"/>
            <rFont val="Tahoma"/>
            <family val="2"/>
          </rPr>
          <t xml:space="preserve">From Matrix #1: the annual cost of retrofitting eligible TRUs w/VDECS compliance technology.
</t>
        </r>
      </text>
    </comment>
    <comment ref="G12" authorId="0">
      <text>
        <r>
          <rPr>
            <b/>
            <sz val="8"/>
            <rFont val="Tahoma"/>
            <family val="0"/>
          </rPr>
          <t>jmanji:</t>
        </r>
        <r>
          <rPr>
            <sz val="8"/>
            <rFont val="Tahoma"/>
            <family val="0"/>
          </rPr>
          <t xml:space="preserve">
</t>
        </r>
        <r>
          <rPr>
            <sz val="12"/>
            <rFont val="Tahoma"/>
            <family val="2"/>
          </rPr>
          <t>The sum of the annual in-use compliance cost and; the annual operator reporting cost (low end of range), or the annual operator reporting cost (high end of the range.)</t>
        </r>
      </text>
    </comment>
    <comment ref="G40" authorId="0">
      <text>
        <r>
          <rPr>
            <b/>
            <sz val="8"/>
            <rFont val="Tahoma"/>
            <family val="0"/>
          </rPr>
          <t>jmanji:</t>
        </r>
        <r>
          <rPr>
            <sz val="8"/>
            <rFont val="Tahoma"/>
            <family val="0"/>
          </rPr>
          <t xml:space="preserve">
</t>
        </r>
        <r>
          <rPr>
            <sz val="12"/>
            <rFont val="Tahoma"/>
            <family val="2"/>
          </rPr>
          <t>The sum of the annual in-use compliance cost and; the annual operator reporting cost (low end of range), or the annual operator reporting cost (high end of the range.)</t>
        </r>
      </text>
    </comment>
    <comment ref="E40" authorId="0">
      <text>
        <r>
          <rPr>
            <b/>
            <sz val="8"/>
            <rFont val="Tahoma"/>
            <family val="0"/>
          </rPr>
          <t>jmanji:</t>
        </r>
        <r>
          <rPr>
            <sz val="8"/>
            <rFont val="Tahoma"/>
            <family val="0"/>
          </rPr>
          <t xml:space="preserve">
</t>
        </r>
        <r>
          <rPr>
            <sz val="12"/>
            <rFont val="Tahoma"/>
            <family val="2"/>
          </rPr>
          <t>This is assumed to be a one-time cost; the extent of costs for those businesses that will need to provide updated information to ARB is unknown, but believed to be minor, given the relatively small cost of the intial annual reporting cost effort.</t>
        </r>
      </text>
    </comment>
    <comment ref="A40" authorId="0">
      <text>
        <r>
          <rPr>
            <b/>
            <sz val="8"/>
            <rFont val="Tahoma"/>
            <family val="0"/>
          </rPr>
          <t>jmanji:</t>
        </r>
        <r>
          <rPr>
            <sz val="8"/>
            <rFont val="Tahoma"/>
            <family val="0"/>
          </rPr>
          <t xml:space="preserve">
</t>
        </r>
        <r>
          <rPr>
            <sz val="12"/>
            <rFont val="Tahoma"/>
            <family val="2"/>
          </rPr>
          <t>This is the calendar year of compliance, not the model year of the TRUs.</t>
        </r>
      </text>
    </comment>
    <comment ref="C40" authorId="0">
      <text>
        <r>
          <rPr>
            <b/>
            <sz val="8"/>
            <rFont val="Tahoma"/>
            <family val="0"/>
          </rPr>
          <t>jmanji:</t>
        </r>
        <r>
          <rPr>
            <sz val="8"/>
            <rFont val="Tahoma"/>
            <family val="0"/>
          </rPr>
          <t xml:space="preserve">
</t>
        </r>
        <r>
          <rPr>
            <sz val="12"/>
            <rFont val="Tahoma"/>
            <family val="2"/>
          </rPr>
          <t>This is the cost of in-use compliance technology for all TRUs that must come into compliance in this calendar year.</t>
        </r>
      </text>
    </comment>
    <comment ref="E12" authorId="0">
      <text>
        <r>
          <rPr>
            <b/>
            <sz val="8"/>
            <rFont val="Tahoma"/>
            <family val="0"/>
          </rPr>
          <t>jmanji:</t>
        </r>
        <r>
          <rPr>
            <sz val="8"/>
            <rFont val="Tahoma"/>
            <family val="0"/>
          </rPr>
          <t xml:space="preserve">
</t>
        </r>
        <r>
          <rPr>
            <sz val="12"/>
            <rFont val="Tahoma"/>
            <family val="2"/>
          </rPr>
          <t>This is assumed to be a one-time cost; the extent of costs for those businesses that will need to provide updated information to ARB is unknown, but believed to be minor, given the relatively small cost of the intial annual reporting cost effort.</t>
        </r>
      </text>
    </comment>
    <comment ref="A12" authorId="0">
      <text>
        <r>
          <rPr>
            <b/>
            <sz val="8"/>
            <rFont val="Tahoma"/>
            <family val="0"/>
          </rPr>
          <t>jmanji:</t>
        </r>
        <r>
          <rPr>
            <sz val="8"/>
            <rFont val="Tahoma"/>
            <family val="0"/>
          </rPr>
          <t xml:space="preserve">
</t>
        </r>
        <r>
          <rPr>
            <sz val="12"/>
            <rFont val="Tahoma"/>
            <family val="2"/>
          </rPr>
          <t>This is the calendar year of compliance, not the model year of the TRUs.</t>
        </r>
      </text>
    </comment>
  </commentList>
</comments>
</file>

<file path=xl/comments6.xml><?xml version="1.0" encoding="utf-8"?>
<comments xmlns="http://schemas.openxmlformats.org/spreadsheetml/2006/main">
  <authors>
    <author>jmanji</author>
    <author>Jon Manji</author>
  </authors>
  <commentList>
    <comment ref="B2" authorId="0">
      <text>
        <r>
          <rPr>
            <b/>
            <sz val="8"/>
            <rFont val="Tahoma"/>
            <family val="0"/>
          </rPr>
          <t>jmanji:</t>
        </r>
        <r>
          <rPr>
            <sz val="8"/>
            <rFont val="Tahoma"/>
            <family val="0"/>
          </rPr>
          <t xml:space="preserve">
</t>
        </r>
        <r>
          <rPr>
            <sz val="12"/>
            <rFont val="Tahoma"/>
            <family val="2"/>
          </rPr>
          <t>Last revision date.</t>
        </r>
      </text>
    </comment>
    <comment ref="A1" authorId="1">
      <text>
        <r>
          <rPr>
            <b/>
            <sz val="8"/>
            <rFont val="Tahoma"/>
            <family val="0"/>
          </rPr>
          <t>Jon Manji:</t>
        </r>
        <r>
          <rPr>
            <sz val="8"/>
            <rFont val="Tahoma"/>
            <family val="0"/>
          </rPr>
          <t xml:space="preserve">
</t>
        </r>
        <r>
          <rPr>
            <sz val="11"/>
            <rFont val="Tahoma"/>
            <family val="2"/>
          </rPr>
          <t>This spreadsheet calculates the range of cost-effectiveness for PM for the ATCM.
The low-cost scenario represents the lower end of the range, and the high-cost scenario represents the upper bound of the range.
The cost of the in-use compliance strategies and the operator reporting requirements and a payment for the 2008 in-use compliance costs are summed to give a total annual compliance cost.  Since the cost of the operator reporting requirements will vary according to the number of TRUs operated by a given business, this cost is expressed as a range, and is used to establish an upper and lower cost within each scenario.  Each annual cost is divided into the corresponding year's PM reduction attributable to the regulation to arrive at a cost-effectiveness figure expressed in dollar per pound of PM.
The 2008 payment is a means of including the 2008 compliance costs in the cost-effectiveness analysis since a cost-effectiveness value cannot be calculated for that year due to zero PM emissions benefit in that year (can't divide a cost figure into zero emission benefits.)  The 2008 cost figure is converted into 2009 dollars using a single payment factor, and then is converted into a unform payment series using a 5% interest rate and twelve-year period (2009-2020.)</t>
        </r>
      </text>
    </comment>
    <comment ref="A11" authorId="0">
      <text>
        <r>
          <rPr>
            <b/>
            <sz val="8"/>
            <rFont val="Tahoma"/>
            <family val="0"/>
          </rPr>
          <t>jmanji:</t>
        </r>
        <r>
          <rPr>
            <sz val="8"/>
            <rFont val="Tahoma"/>
            <family val="0"/>
          </rPr>
          <t xml:space="preserve">
</t>
        </r>
        <r>
          <rPr>
            <sz val="12"/>
            <rFont val="Tahoma"/>
            <family val="2"/>
          </rPr>
          <t>This is the calendar year of compliance, not the model year of the TRUs.</t>
        </r>
      </text>
    </comment>
    <comment ref="B11" authorId="0">
      <text>
        <r>
          <rPr>
            <b/>
            <sz val="8"/>
            <rFont val="Tahoma"/>
            <family val="0"/>
          </rPr>
          <t>jmanji:</t>
        </r>
        <r>
          <rPr>
            <sz val="8"/>
            <rFont val="Tahoma"/>
            <family val="0"/>
          </rPr>
          <t xml:space="preserve">
</t>
        </r>
        <r>
          <rPr>
            <sz val="12"/>
            <rFont val="Tahoma"/>
            <family val="2"/>
          </rPr>
          <t>From Table D-1</t>
        </r>
      </text>
    </comment>
    <comment ref="C11" authorId="0">
      <text>
        <r>
          <rPr>
            <b/>
            <sz val="8"/>
            <rFont val="Tahoma"/>
            <family val="0"/>
          </rPr>
          <t>jmanji:</t>
        </r>
        <r>
          <rPr>
            <sz val="8"/>
            <rFont val="Tahoma"/>
            <family val="0"/>
          </rPr>
          <t xml:space="preserve">
</t>
        </r>
        <r>
          <rPr>
            <sz val="12"/>
            <rFont val="Tahoma"/>
            <family val="2"/>
          </rPr>
          <t xml:space="preserve">From Matrix #1a: the annual apportioned cost of engine or TRU replacement.
</t>
        </r>
      </text>
    </comment>
    <comment ref="E11" authorId="0">
      <text>
        <r>
          <rPr>
            <b/>
            <sz val="8"/>
            <rFont val="Tahoma"/>
            <family val="0"/>
          </rPr>
          <t>jmanji:</t>
        </r>
        <r>
          <rPr>
            <sz val="8"/>
            <rFont val="Tahoma"/>
            <family val="0"/>
          </rPr>
          <t xml:space="preserve">
</t>
        </r>
        <r>
          <rPr>
            <sz val="12"/>
            <rFont val="Tahoma"/>
            <family val="2"/>
          </rPr>
          <t>This is assumed to be a one-time cost; the extent of costs for those businesses that will need to provide updated information to ARB is unknown, but believed to be minor, given the relatively small cost of the intial annual reporting cost effort.</t>
        </r>
      </text>
    </comment>
    <comment ref="G11" authorId="0">
      <text>
        <r>
          <rPr>
            <b/>
            <sz val="8"/>
            <rFont val="Tahoma"/>
            <family val="0"/>
          </rPr>
          <t>jmanji:</t>
        </r>
        <r>
          <rPr>
            <sz val="8"/>
            <rFont val="Tahoma"/>
            <family val="0"/>
          </rPr>
          <t xml:space="preserve">
</t>
        </r>
        <r>
          <rPr>
            <sz val="12"/>
            <rFont val="Tahoma"/>
            <family val="2"/>
          </rPr>
          <t>The sum of the annual in-use compliance cost and; the annual operator reporting cost (low end of range), or the annual operator reporting cost (high end of the range.)</t>
        </r>
      </text>
    </comment>
  </commentList>
</comments>
</file>

<file path=xl/comments7.xml><?xml version="1.0" encoding="utf-8"?>
<comments xmlns="http://schemas.openxmlformats.org/spreadsheetml/2006/main">
  <authors>
    <author>jmanji</author>
    <author>Jon Manji</author>
  </authors>
  <commentList>
    <comment ref="D18" authorId="0">
      <text>
        <r>
          <rPr>
            <b/>
            <sz val="8"/>
            <rFont val="Tahoma"/>
            <family val="0"/>
          </rPr>
          <t>jmanji:</t>
        </r>
        <r>
          <rPr>
            <sz val="8"/>
            <rFont val="Tahoma"/>
            <family val="0"/>
          </rPr>
          <t xml:space="preserve">
</t>
        </r>
        <r>
          <rPr>
            <sz val="11"/>
            <rFont val="Tahoma"/>
            <family val="2"/>
          </rPr>
          <t xml:space="preserve">This column takes the </t>
        </r>
        <r>
          <rPr>
            <u val="single"/>
            <sz val="11"/>
            <rFont val="Tahoma"/>
            <family val="2"/>
          </rPr>
          <t>low</t>
        </r>
        <r>
          <rPr>
            <sz val="11"/>
            <rFont val="Tahoma"/>
            <family val="2"/>
          </rPr>
          <t xml:space="preserve"> end of the   reporting cost range and uses the single payment present worth factor to convert it from 2002 
to 2008 dollars (I = 5%.)</t>
        </r>
      </text>
    </comment>
    <comment ref="E18" authorId="0">
      <text>
        <r>
          <rPr>
            <b/>
            <sz val="8"/>
            <rFont val="Tahoma"/>
            <family val="0"/>
          </rPr>
          <t>jmanji:</t>
        </r>
        <r>
          <rPr>
            <sz val="8"/>
            <rFont val="Tahoma"/>
            <family val="0"/>
          </rPr>
          <t xml:space="preserve">
</t>
        </r>
        <r>
          <rPr>
            <sz val="11"/>
            <rFont val="Tahoma"/>
            <family val="2"/>
          </rPr>
          <t xml:space="preserve">This column takes the </t>
        </r>
        <r>
          <rPr>
            <u val="single"/>
            <sz val="11"/>
            <rFont val="Tahoma"/>
            <family val="2"/>
          </rPr>
          <t>high</t>
        </r>
        <r>
          <rPr>
            <sz val="11"/>
            <rFont val="Tahoma"/>
            <family val="2"/>
          </rPr>
          <t xml:space="preserve">
 end of the reporting cost range and uses the single payment present worth factor to convert it from 2002 to 2008 dollars (I = 5%.)</t>
        </r>
      </text>
    </comment>
    <comment ref="A3" authorId="1">
      <text>
        <r>
          <rPr>
            <b/>
            <sz val="8"/>
            <rFont val="Tahoma"/>
            <family val="0"/>
          </rPr>
          <t>Jon Manji:</t>
        </r>
        <r>
          <rPr>
            <sz val="8"/>
            <rFont val="Tahoma"/>
            <family val="0"/>
          </rPr>
          <t xml:space="preserve">
</t>
        </r>
        <r>
          <rPr>
            <sz val="12"/>
            <rFont val="Tahoma"/>
            <family val="2"/>
          </rPr>
          <t>Date of last revision.</t>
        </r>
      </text>
    </comment>
  </commentList>
</comments>
</file>

<file path=xl/comments8.xml><?xml version="1.0" encoding="utf-8"?>
<comments xmlns="http://schemas.openxmlformats.org/spreadsheetml/2006/main">
  <authors>
    <author>jmanji</author>
    <author>Jon Manji</author>
  </authors>
  <commentList>
    <comment ref="F18" authorId="0">
      <text>
        <r>
          <rPr>
            <b/>
            <sz val="8"/>
            <rFont val="Tahoma"/>
            <family val="0"/>
          </rPr>
          <t>jmanji:</t>
        </r>
        <r>
          <rPr>
            <sz val="8"/>
            <rFont val="Tahoma"/>
            <family val="0"/>
          </rPr>
          <t xml:space="preserve">
</t>
        </r>
        <r>
          <rPr>
            <sz val="11"/>
            <rFont val="Tahoma"/>
            <family val="2"/>
          </rPr>
          <t xml:space="preserve">This column takes the </t>
        </r>
        <r>
          <rPr>
            <u val="single"/>
            <sz val="11"/>
            <rFont val="Tahoma"/>
            <family val="2"/>
          </rPr>
          <t>low</t>
        </r>
        <r>
          <rPr>
            <sz val="11"/>
            <rFont val="Tahoma"/>
            <family val="2"/>
          </rPr>
          <t xml:space="preserve"> end of the reporting cost range and uses the single payment present worth factor to convert it from 2002 to 2008 dollars (I = 5%.)</t>
        </r>
      </text>
    </comment>
    <comment ref="G18" authorId="0">
      <text>
        <r>
          <rPr>
            <b/>
            <sz val="8"/>
            <rFont val="Tahoma"/>
            <family val="0"/>
          </rPr>
          <t>jmanji:</t>
        </r>
        <r>
          <rPr>
            <sz val="8"/>
            <rFont val="Tahoma"/>
            <family val="0"/>
          </rPr>
          <t xml:space="preserve">
</t>
        </r>
        <r>
          <rPr>
            <sz val="11"/>
            <rFont val="Tahoma"/>
            <family val="2"/>
          </rPr>
          <t xml:space="preserve">This column takes the </t>
        </r>
        <r>
          <rPr>
            <u val="single"/>
            <sz val="11"/>
            <rFont val="Tahoma"/>
            <family val="2"/>
          </rPr>
          <t>high</t>
        </r>
        <r>
          <rPr>
            <sz val="11"/>
            <rFont val="Tahoma"/>
            <family val="2"/>
          </rPr>
          <t xml:space="preserve"> end of the reporting cost range and uses the single payment present worth factor to convert it from 2002 to 2008 dollars (I = 5%.)</t>
        </r>
      </text>
    </comment>
    <comment ref="A3" authorId="1">
      <text>
        <r>
          <rPr>
            <b/>
            <sz val="8"/>
            <rFont val="Tahoma"/>
            <family val="0"/>
          </rPr>
          <t>Jon Manji:</t>
        </r>
        <r>
          <rPr>
            <sz val="8"/>
            <rFont val="Tahoma"/>
            <family val="0"/>
          </rPr>
          <t xml:space="preserve">
</t>
        </r>
        <r>
          <rPr>
            <sz val="12"/>
            <rFont val="Tahoma"/>
            <family val="2"/>
          </rPr>
          <t>Date of last revision.</t>
        </r>
      </text>
    </comment>
    <comment ref="A7" authorId="1">
      <text>
        <r>
          <rPr>
            <b/>
            <sz val="8"/>
            <rFont val="Tahoma"/>
            <family val="0"/>
          </rPr>
          <t>Jon Manji:</t>
        </r>
        <r>
          <rPr>
            <sz val="8"/>
            <rFont val="Tahoma"/>
            <family val="0"/>
          </rPr>
          <t xml:space="preserve">
</t>
        </r>
        <r>
          <rPr>
            <sz val="12"/>
            <rFont val="Tahoma"/>
            <family val="2"/>
          </rPr>
          <t>This spreadsheet calculates the cost-effectiveness of alternative 2.</t>
        </r>
      </text>
    </comment>
  </commentList>
</comments>
</file>

<file path=xl/sharedStrings.xml><?xml version="1.0" encoding="utf-8"?>
<sst xmlns="http://schemas.openxmlformats.org/spreadsheetml/2006/main" count="874" uniqueCount="202">
  <si>
    <t>15-25 hp</t>
  </si>
  <si>
    <t>25-50 hp CA-based</t>
  </si>
  <si>
    <t>Total</t>
  </si>
  <si>
    <t>Cost</t>
  </si>
  <si>
    <t>(tpd)</t>
  </si>
  <si>
    <t>Year</t>
  </si>
  <si>
    <t>Annual In-Use</t>
  </si>
  <si>
    <t>Total Ann. Oper.</t>
  </si>
  <si>
    <t>In-Use Only</t>
  </si>
  <si>
    <t>$/lb.</t>
  </si>
  <si>
    <t>$/lb</t>
  </si>
  <si>
    <t>(tpy)</t>
  </si>
  <si>
    <t>(low)</t>
  </si>
  <si>
    <t>(high)</t>
  </si>
  <si>
    <t>Emission Red.</t>
  </si>
  <si>
    <t>Emission Benefit</t>
  </si>
  <si>
    <t>Adjustment</t>
  </si>
  <si>
    <t>(basis for calculations below)</t>
  </si>
  <si>
    <t>Engine Model Year</t>
  </si>
  <si>
    <t>Calendar Year</t>
  </si>
  <si>
    <t>&lt; 15hp</t>
  </si>
  <si>
    <t>Maint Cost Sub-Total 25-50 hp</t>
  </si>
  <si>
    <r>
      <t>Annualized Capital Cost</t>
    </r>
    <r>
      <rPr>
        <b/>
        <vertAlign val="superscript"/>
        <sz val="14"/>
        <rFont val="Arial"/>
        <family val="2"/>
      </rPr>
      <t>1</t>
    </r>
  </si>
  <si>
    <t>Capital Cost Sub-Total</t>
  </si>
  <si>
    <t>25-50 hp              Out-of-State</t>
  </si>
  <si>
    <r>
      <t>Annual Mtce Cost</t>
    </r>
    <r>
      <rPr>
        <b/>
        <vertAlign val="superscript"/>
        <sz val="14"/>
        <rFont val="Arial"/>
        <family val="2"/>
      </rPr>
      <t>2</t>
    </r>
  </si>
  <si>
    <t>Total 25-50 hp             (Info Only)</t>
  </si>
  <si>
    <t>25-50 hp           Reefer Railcar</t>
  </si>
  <si>
    <t>25-50 hp  Gen Sets CA-based</t>
  </si>
  <si>
    <t>25-50 hp                 Out-of-State</t>
  </si>
  <si>
    <t>25-50 hp  Gen Sets Out-of-State</t>
  </si>
  <si>
    <t>25-50 hp               CA-based</t>
  </si>
  <si>
    <t>25-50 hp            Out-of-State</t>
  </si>
  <si>
    <t>25-50 hp              Gen Sets         Out-of-State</t>
  </si>
  <si>
    <t>25-50 hp                  Gen Sets            CA-based</t>
  </si>
  <si>
    <t>25-50 hp          Reefer Railcars</t>
  </si>
  <si>
    <t>25-50 hp                  CA-based</t>
  </si>
  <si>
    <t>25-50 hp                 Gen Sets           CA-based</t>
  </si>
  <si>
    <t>25-50 hp              Gen Sets              Out-of-State</t>
  </si>
  <si>
    <t>25-50 hp                     Reefer Railcars</t>
  </si>
  <si>
    <t>a</t>
  </si>
  <si>
    <r>
      <t xml:space="preserve">a </t>
    </r>
    <r>
      <rPr>
        <sz val="12"/>
        <rFont val="Arial"/>
        <family val="2"/>
      </rPr>
      <t>In-Use Affected Population = 0; Assumes Full Introduction of EPA Tier 4 Engines into TRU/Gen Set Fleet</t>
    </r>
  </si>
  <si>
    <t xml:space="preserve">      Engine Population Category</t>
  </si>
  <si>
    <t xml:space="preserve">     Capital Cost Subtotal</t>
  </si>
  <si>
    <t xml:space="preserve"> Capital Cost Subtotal</t>
  </si>
  <si>
    <t>Capital Cost Subtotal</t>
  </si>
  <si>
    <t xml:space="preserve">      Maintenance Cost Subtotal</t>
  </si>
  <si>
    <t>Maintenance Cost Subtotal</t>
  </si>
  <si>
    <t xml:space="preserve"> Maintenance Cost Subtotal</t>
  </si>
  <si>
    <t>Capital Cost    Sub-Total (2002 $)</t>
  </si>
  <si>
    <t>Maintenance Cost  Sub-Total (2002 $)</t>
  </si>
  <si>
    <t>Total Annual In-Use Cost              (2002 $)</t>
  </si>
  <si>
    <t>Notes</t>
  </si>
  <si>
    <t>Total (this year)</t>
  </si>
  <si>
    <t>High-Cost Scenario: Assume 3,000 Hours/Year TRU/Gen Set Operation</t>
  </si>
  <si>
    <t>Low-Cost Scenario: Assume 1200 Hours/Year TRU/Gen Set Operation</t>
  </si>
  <si>
    <t>Low-Cost Scenario</t>
  </si>
  <si>
    <t>High-Cost Scenario</t>
  </si>
  <si>
    <t>Capital Costs:</t>
  </si>
  <si>
    <t>Annual Costs:</t>
  </si>
  <si>
    <t>In-Use Compliance Technology Used</t>
  </si>
  <si>
    <t>Cap. Cost</t>
  </si>
  <si>
    <t xml:space="preserve">      Capital Cost Subtotal</t>
  </si>
  <si>
    <t>Interest Rates Used for Present Worth Analysis</t>
  </si>
  <si>
    <r>
      <t xml:space="preserve">1 </t>
    </r>
    <r>
      <rPr>
        <sz val="12"/>
        <rFont val="Arial"/>
        <family val="2"/>
      </rPr>
      <t>This is the annualized capital cost of the appropriate in-use compliance technology used to meet LETRU or ULETRU requirements as appropriate.  The interest rate used is given at the top of this matrix.</t>
    </r>
  </si>
  <si>
    <t>Assumptions:</t>
  </si>
  <si>
    <t xml:space="preserve">10-year useful life for compliance technology; capital cost is amortized over a 10-year period. </t>
  </si>
  <si>
    <t>Operator Cost Range (2002 $)</t>
  </si>
  <si>
    <t>LETRU: Electric Standby Retrofit</t>
  </si>
  <si>
    <t>In-Use Compliance Cost Range Estimates</t>
  </si>
  <si>
    <t>Ann. Cost - TRUs</t>
  </si>
  <si>
    <t>Ann. Cost - Gen Sets</t>
  </si>
  <si>
    <t>ULETRU: Electric Standby Retrofit</t>
  </si>
  <si>
    <t>LETRU: Full Cryogenic Refrig</t>
  </si>
  <si>
    <t>ULETRU: Full Cryogenic Refrig</t>
  </si>
  <si>
    <t>Use of cryogenic technology not appropriate for gen sets-- cost figures do not include gen sets.</t>
  </si>
  <si>
    <r>
      <t xml:space="preserve">2 </t>
    </r>
    <r>
      <rPr>
        <sz val="12"/>
        <rFont val="Arial"/>
        <family val="2"/>
      </rPr>
      <t>This is the annual cost of maintaining the in-use complaince technology over and above that for diesel technology.  It may include items such as more-frequent engine servicing, cost of fuel-borne catalyst or other additive, and/or servicing of emission-control device(s).</t>
    </r>
  </si>
  <si>
    <t>Maint Cost Sub-Total</t>
  </si>
  <si>
    <t>Use of electric standby technology not appropriate for gen sets-- cost figures do not include gen sets.</t>
  </si>
  <si>
    <t>Four different scenarios are shown, the first two are the low and high cost ends of the range of expected in-use compliance costs, and the last two are the alternative technologies examined for the economic impact statement in the Form 399.</t>
  </si>
  <si>
    <t>This Matrix calculates the in-use cost of compliance for TRUs and TRU gen sets ("TRUs".)  It takes the annual TRU population numbers (same as used for emissions inventory purposes) and multiplies them by the capital and annual costs for the compliance technology shown.</t>
  </si>
  <si>
    <t xml:space="preserve">The capital costs are amortized over an assumed  ten-year useful life, and all annual costs are converted to constant year (2002) dollars using standard present worth analysis techniques. </t>
  </si>
  <si>
    <r>
      <t xml:space="preserve">3 </t>
    </r>
    <r>
      <rPr>
        <sz val="12"/>
        <rFont val="Arial"/>
        <family val="2"/>
      </rPr>
      <t>Use of electric standby retrofit technology not appropriate for gen sets-- cost figures do not include gen sets.</t>
    </r>
  </si>
  <si>
    <r>
      <t xml:space="preserve">4 </t>
    </r>
    <r>
      <rPr>
        <sz val="12"/>
        <rFont val="Arial"/>
        <family val="2"/>
      </rPr>
      <t>Use of cryogenic technology not appropriate for gen sets-- cost figures do not include gen sets.</t>
    </r>
  </si>
  <si>
    <r>
      <t>Alternative 1 Scenario: Use of Electric Standby Retrofit-- Assume 1,200 Hours/Year TRU/Gen Set Operation</t>
    </r>
    <r>
      <rPr>
        <b/>
        <u val="single"/>
        <vertAlign val="superscript"/>
        <sz val="16"/>
        <rFont val="Arial"/>
        <family val="2"/>
      </rPr>
      <t xml:space="preserve"> 3</t>
    </r>
  </si>
  <si>
    <r>
      <t xml:space="preserve">Alternative 2 Scenario: Use of Cryogenic Technology-- Assume 1,200 Hours/Year TRU Operation </t>
    </r>
    <r>
      <rPr>
        <b/>
        <u val="single"/>
        <vertAlign val="superscript"/>
        <sz val="16"/>
        <rFont val="Arial"/>
        <family val="2"/>
      </rPr>
      <t>4</t>
    </r>
  </si>
  <si>
    <t>Use of electric standby not appropriate for gen sets-- cost figures do not include gen sets.</t>
  </si>
  <si>
    <t>Alternative 2 Scenario (cryogenic)</t>
  </si>
  <si>
    <t>Alternative 1 Scenario (electric standby)</t>
  </si>
  <si>
    <t>Total Annual In-Use Cost</t>
  </si>
  <si>
    <t xml:space="preserve">    2008-2020 Maintenance Cost Subtotal  (in 2002 $):</t>
  </si>
  <si>
    <t>2008 - 2020 Total In-Use Compliance Cost (in 2002 $):</t>
  </si>
  <si>
    <t xml:space="preserve">    2008 - 2020 Maintenance Cost Subtotal  (in 2002 $):</t>
  </si>
  <si>
    <t>2008 - 2020 Capital Cost Subtotal (in 2002 $):</t>
  </si>
  <si>
    <t>In each scenario, on a year-by-year basis, population figures for each engine category are multiplied by a compliance cost component (annualized capital or annual maintenance); these products are then summed to determine the compliance cost for a given year.</t>
  </si>
  <si>
    <t>Emission</t>
  </si>
  <si>
    <t>Benefits</t>
  </si>
  <si>
    <t>Annual Cost-Effectiveness (regulation, PM only)</t>
  </si>
  <si>
    <t>ULETRU: LPG Dual-Fuel Pilot Injection</t>
  </si>
  <si>
    <t>FBC = Fuel-Borne Catalyst, CWMF = Catalyzed Wire Mesh Filter</t>
  </si>
  <si>
    <t>LETRU: FBC + CWMF</t>
  </si>
  <si>
    <t>Annual Operator Reporting</t>
  </si>
  <si>
    <t>Range</t>
  </si>
  <si>
    <t>This calculation is performed to account for the 2008 in-use costs, since a cost-effectiveness figure cannot be calculated for this year due to zero PM emission reduction.</t>
  </si>
  <si>
    <t>Total Ann. Operating Cost</t>
  </si>
  <si>
    <t xml:space="preserve">by doing the following: converting the 2008 in-use cost to 2009 dollars, and then converting that amount to a uniform payment series; interest rate used is 5%. </t>
  </si>
  <si>
    <t>Int. rate for 2008 Cost Pmt. Adj.:</t>
  </si>
  <si>
    <r>
      <t xml:space="preserve"> 2008 In-Use Cost Payment Adj. </t>
    </r>
    <r>
      <rPr>
        <vertAlign val="superscript"/>
        <sz val="12"/>
        <rFont val="Arial"/>
        <family val="2"/>
      </rPr>
      <t>1</t>
    </r>
  </si>
  <si>
    <t>Cost (2002 $)</t>
  </si>
  <si>
    <t>(low-cost scenario)</t>
  </si>
  <si>
    <t>Cost  (2002$)</t>
  </si>
  <si>
    <t>(high-cost scenario)</t>
  </si>
  <si>
    <t>Totals:</t>
  </si>
  <si>
    <t xml:space="preserve">   Fac. Rep. Cost Range</t>
  </si>
  <si>
    <t xml:space="preserve">  Total Cost Range (2002 $)</t>
  </si>
  <si>
    <t xml:space="preserve">          Not Used for Cost-Effectiveness Calculation</t>
  </si>
  <si>
    <t>Real interest rate, which is a 7% nominal rate minus an assumed 2% inflation rate</t>
  </si>
  <si>
    <t>Oct. 12, 03</t>
  </si>
  <si>
    <t>Ann. Cost</t>
  </si>
  <si>
    <t>&lt;15 HP</t>
  </si>
  <si>
    <t>15-25 HP</t>
  </si>
  <si>
    <t>&gt;25 HP</t>
  </si>
  <si>
    <t>&gt;25</t>
  </si>
  <si>
    <t>Size</t>
  </si>
  <si>
    <t>Compliance Scenario</t>
  </si>
  <si>
    <t>LETRU: TRU Replacement</t>
  </si>
  <si>
    <t>ULETRU: Engine Replacement</t>
  </si>
  <si>
    <t>ULETRU-GEN: Engine Replacement</t>
  </si>
  <si>
    <t>Early Retirement</t>
  </si>
  <si>
    <t>&lt; 15HP</t>
  </si>
  <si>
    <t>25-50 HP               CA-based</t>
  </si>
  <si>
    <t>25-50 HP Out-of-State</t>
  </si>
  <si>
    <t>25-50 HP Gen Sets            CA-based</t>
  </si>
  <si>
    <t>25-50 HP              Gen Sets         Out-of-State</t>
  </si>
  <si>
    <t>25-50 HP          Reefer Railcars</t>
  </si>
  <si>
    <t>Early Retirement Cost Subtotal</t>
  </si>
  <si>
    <t>LETRU-GEN: Replacement w/new</t>
  </si>
  <si>
    <t>Early Retirement Allowance Profile (cost factor attributable to ATCM)</t>
  </si>
  <si>
    <t>In this scenario, on a year-by-year basis, population figures for each engine category are multiplied by the annualized capital cost and the early retirement allowance factor; these products are then summed to determine the compliance cost for a given year.</t>
  </si>
  <si>
    <t>2008 All</t>
  </si>
  <si>
    <t>Early Retirement Cost Attributable to Allowance for 11 Year and Older Units</t>
  </si>
  <si>
    <t>Early Retirement Cost Attributable to Units 10 Years Old and Newer</t>
  </si>
  <si>
    <t xml:space="preserve"> </t>
  </si>
  <si>
    <t>Early Retirement Cost Total (attributed to ATCM)</t>
  </si>
  <si>
    <t>Portion of Capital Cost Attributed to Normal Replacement</t>
  </si>
  <si>
    <t>25-50 hp                       Out-of-State</t>
  </si>
  <si>
    <t>25-50 hp  Gen Sets      CA-based</t>
  </si>
  <si>
    <t>25-50 hp  Gen Sets     Out-of-State</t>
  </si>
  <si>
    <t>25-50 hp               Reefer Railcar</t>
  </si>
  <si>
    <t>Capital Cost                           Sub-Total (2002 $)</t>
  </si>
  <si>
    <t>Tots (all yrs):</t>
  </si>
  <si>
    <t>Minimum</t>
  </si>
  <si>
    <t>Maximum</t>
  </si>
  <si>
    <t>Tons PM Reduced (13 Yrs.)</t>
  </si>
  <si>
    <t>VDECS Retrofit: High-Cost Scenario</t>
  </si>
  <si>
    <t>VDECS Retrofit: Low-Cost Scenario</t>
  </si>
  <si>
    <t>Engine/TRU Replacement Scenario</t>
  </si>
  <si>
    <t>The variable used to establish the low and high end scenarios is the annual usage;</t>
  </si>
  <si>
    <t>1,200 hours/year for the low end (typical short-haul usage) and 3,000 hours/year for the high end (typical long-haul usage.)</t>
  </si>
  <si>
    <t>(In-Use &amp; Rept. Costs Only)</t>
  </si>
  <si>
    <t xml:space="preserve">  PM Cost Effectiveness</t>
  </si>
  <si>
    <t xml:space="preserve">by doing the following: converting the 2008 costs to 2009 dollars, and then converting that amount to a uniform payment series; interest rate used is 5%. </t>
  </si>
  <si>
    <t xml:space="preserve">          Total Annual Cost</t>
  </si>
  <si>
    <t xml:space="preserve">           See Footnote 1</t>
  </si>
  <si>
    <t xml:space="preserve">          See Footnote 1</t>
  </si>
  <si>
    <t xml:space="preserve">       Not Used for Cost-Effectiveness Calculation</t>
  </si>
  <si>
    <t xml:space="preserve">             Interest rate for 2008 Cost Pmt. Adj.:</t>
  </si>
  <si>
    <r>
      <t xml:space="preserve">This scenario assumes that VDECS retrofits are </t>
    </r>
    <r>
      <rPr>
        <u val="single"/>
        <sz val="12"/>
        <rFont val="Arial"/>
        <family val="2"/>
      </rPr>
      <t>not</t>
    </r>
    <r>
      <rPr>
        <sz val="12"/>
        <rFont val="Arial"/>
        <family val="0"/>
      </rPr>
      <t xml:space="preserve"> used, and that engine replacement is used for 10 years and newer units, per the ATCM requirements, and that TRU replacement is used for 11 years and older units.</t>
    </r>
  </si>
  <si>
    <t xml:space="preserve">    Fac. Rep. Cost Range</t>
  </si>
  <si>
    <t xml:space="preserve">        See Footnote 1</t>
  </si>
  <si>
    <t xml:space="preserve">   PM Cost Effectiveness</t>
  </si>
  <si>
    <r>
      <t xml:space="preserve">      In-Use Cost Payment Adj. </t>
    </r>
    <r>
      <rPr>
        <vertAlign val="superscript"/>
        <sz val="12"/>
        <rFont val="Arial"/>
        <family val="2"/>
      </rPr>
      <t>1</t>
    </r>
  </si>
  <si>
    <r>
      <t xml:space="preserve">Factor </t>
    </r>
    <r>
      <rPr>
        <vertAlign val="superscript"/>
        <sz val="12"/>
        <rFont val="Arial"/>
        <family val="2"/>
      </rPr>
      <t>1</t>
    </r>
  </si>
  <si>
    <r>
      <t>1</t>
    </r>
    <r>
      <rPr>
        <sz val="12"/>
        <rFont val="Arial"/>
        <family val="0"/>
      </rPr>
      <t xml:space="preserve"> Used to adjust the technology cost for greater PM reduction benefit than the ATCM.</t>
    </r>
  </si>
  <si>
    <t>Baseline Em.</t>
  </si>
  <si>
    <t>w/Tier 4</t>
  </si>
  <si>
    <t>From ATCM</t>
  </si>
  <si>
    <t>Low</t>
  </si>
  <si>
    <t>High</t>
  </si>
  <si>
    <t>Cost-Effectiveness Calculations for Alternative #1</t>
  </si>
  <si>
    <t>(from Matrix 1)</t>
  </si>
  <si>
    <t>Cost-Effectiveness Calculations for Alternative #2</t>
  </si>
  <si>
    <t>The cost is divided by the emission reduction for the given year (since this technology eliminates PM emissions, it is equal to the baseline emissions, excluding TRU gen set emissions) to give the cost-effectiveness figure.</t>
  </si>
  <si>
    <t>Use of Electric Standby Technology Assumed for In-Use Compliance With ATCM; 1,200 Hrs./Yr. Operation.</t>
  </si>
  <si>
    <t>PM emission reduction attributable to this Alternative is 100% of baseline, from Table D-1; TRU gen set emissions not included.</t>
  </si>
  <si>
    <t>Operator Reporting</t>
  </si>
  <si>
    <t>Total Annual</t>
  </si>
  <si>
    <t xml:space="preserve">      Annual Cost-Effectiveness</t>
  </si>
  <si>
    <t>Since this alternative produces a greater PM reduction benefit that the ATCM, this factor is used to equalize the alternative cost against the ATCM cost.</t>
  </si>
  <si>
    <t>This factor is the emission benefit from the ATCM (excluding TRU gen sets) divided by the baseline emission figure (excluding TRU gen sets) for the given year, and is multiplied by the in-use cost for the given year.</t>
  </si>
  <si>
    <r>
      <t xml:space="preserve">2 </t>
    </r>
    <r>
      <rPr>
        <sz val="12"/>
        <rFont val="Arial"/>
        <family val="2"/>
      </rPr>
      <t>The cost-effectiveness figures for this year (2008) use the full cost of compliance, since an emission benefit factor for this year only cannot be calculated due to zero emission benefit from the ATCM for this year.</t>
    </r>
  </si>
  <si>
    <t>The figures for this year only are shown for illustrative purposes only, and were not considered when determining the minimum and maximum cost-effectiveness figures.</t>
  </si>
  <si>
    <t>PM emission reduction attributable to this Alternative is 50% of baseline, from Table D-1; TRU gen set emissions not included.</t>
  </si>
  <si>
    <t>Use of Full Cryogenic Refrigeration Assumed for In-Use Compliance With ATCM; 1,200 Hrs./Yr. Operation.</t>
  </si>
  <si>
    <t>w/ Tier 4</t>
  </si>
  <si>
    <t xml:space="preserve">         Operator Reporting</t>
  </si>
  <si>
    <r>
      <t>1</t>
    </r>
    <r>
      <rPr>
        <sz val="12"/>
        <rFont val="Arial"/>
        <family val="2"/>
      </rPr>
      <t>These two columns take the 2008 in-use cost and convert it into uniform payments for the years 2009 - 2020</t>
    </r>
  </si>
  <si>
    <r>
      <t>1</t>
    </r>
    <r>
      <rPr>
        <sz val="12"/>
        <rFont val="Arial"/>
        <family val="2"/>
      </rPr>
      <t>These two columns take the 2005 - 2008 in-use costs and converts them into uniform payments for the years 2009 - 2020</t>
    </r>
  </si>
  <si>
    <t>Engine/TRU Replacement Scenario:</t>
  </si>
  <si>
    <t>Nov. 14, 03</t>
  </si>
  <si>
    <t>In-Use &amp; Oper. Rep. Costs =</t>
  </si>
  <si>
    <t xml:space="preserve"> Total Ann. Operating Cost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</si>
</sst>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_);_(&quot;$&quot;* \(#,##0.0\);_(&quot;$&quot;* &quot;-&quot;??_);_(@_)"/>
    <numFmt numFmtId="170" formatCode="_(&quot;$&quot;* #,##0_);_(&quot;$&quot;* \(#,##0\);_(&quot;$&quot;* &quot;-&quot;??_);_(@_)"/>
    <numFmt numFmtId="171" formatCode="_(* #,##0.0_);_(* \(#,##0.0\);_(* &quot;-&quot;??_);_(@_)"/>
    <numFmt numFmtId="172" formatCode="_(* #,##0_);_(* \(#,##0\);_(* &quot;-&quot;??_);_(@_)"/>
    <numFmt numFmtId="173" formatCode="0.0%"/>
    <numFmt numFmtId="174" formatCode="&quot;$&quot;#,##0"/>
    <numFmt numFmtId="175" formatCode="mmmm\ d\,\ yyyy"/>
    <numFmt numFmtId="176" formatCode="0;[Red]0"/>
    <numFmt numFmtId="177" formatCode="&quot;$&quot;#,##0.00"/>
    <numFmt numFmtId="178" formatCode="&quot;$&quot;#,##0.000"/>
  </numFmts>
  <fonts count="29">
    <font>
      <sz val="12"/>
      <name val="Arial"/>
      <family val="0"/>
    </font>
    <font>
      <b/>
      <sz val="12"/>
      <name val="Arial"/>
      <family val="2"/>
    </font>
    <font>
      <b/>
      <u val="single"/>
      <sz val="12"/>
      <name val="Arial"/>
      <family val="2"/>
    </font>
    <font>
      <b/>
      <u val="single"/>
      <sz val="14"/>
      <name val="Arial"/>
      <family val="2"/>
    </font>
    <font>
      <b/>
      <sz val="16"/>
      <name val="Arial"/>
      <family val="2"/>
    </font>
    <font>
      <b/>
      <sz val="14"/>
      <name val="Arial"/>
      <family val="2"/>
    </font>
    <font>
      <u val="single"/>
      <sz val="12"/>
      <name val="Arial"/>
      <family val="2"/>
    </font>
    <font>
      <sz val="10"/>
      <name val="Arial"/>
      <family val="0"/>
    </font>
    <font>
      <b/>
      <sz val="10"/>
      <name val="Arial"/>
      <family val="0"/>
    </font>
    <font>
      <sz val="10"/>
      <color indexed="8"/>
      <name val="MS Sans Serif"/>
      <family val="0"/>
    </font>
    <font>
      <sz val="8"/>
      <name val="Tahoma"/>
      <family val="0"/>
    </font>
    <font>
      <b/>
      <sz val="8"/>
      <name val="Tahoma"/>
      <family val="0"/>
    </font>
    <font>
      <sz val="11"/>
      <name val="Tahoma"/>
      <family val="2"/>
    </font>
    <font>
      <sz val="16"/>
      <name val="Arial"/>
      <family val="2"/>
    </font>
    <font>
      <b/>
      <vertAlign val="superscript"/>
      <sz val="14"/>
      <name val="Arial"/>
      <family val="2"/>
    </font>
    <font>
      <sz val="14"/>
      <name val="Arial"/>
      <family val="2"/>
    </font>
    <font>
      <vertAlign val="superscript"/>
      <sz val="12"/>
      <name val="Arial"/>
      <family val="2"/>
    </font>
    <font>
      <b/>
      <u val="single"/>
      <sz val="16"/>
      <name val="Arial"/>
      <family val="2"/>
    </font>
    <font>
      <u val="single"/>
      <sz val="16"/>
      <name val="Arial"/>
      <family val="2"/>
    </font>
    <font>
      <sz val="12"/>
      <name val="Tahoma"/>
      <family val="2"/>
    </font>
    <font>
      <b/>
      <sz val="12"/>
      <name val="Tahoma"/>
      <family val="2"/>
    </font>
    <font>
      <b/>
      <u val="single"/>
      <vertAlign val="superscript"/>
      <sz val="16"/>
      <name val="Arial"/>
      <family val="2"/>
    </font>
    <font>
      <u val="single"/>
      <sz val="11"/>
      <name val="Tahoma"/>
      <family val="2"/>
    </font>
    <font>
      <b/>
      <sz val="22"/>
      <name val="Arial"/>
      <family val="2"/>
    </font>
    <font>
      <sz val="22"/>
      <name val="Arial"/>
      <family val="2"/>
    </font>
    <font>
      <b/>
      <vertAlign val="superscript"/>
      <sz val="12"/>
      <name val="Arial"/>
      <family val="2"/>
    </font>
    <font>
      <u val="single"/>
      <sz val="11"/>
      <name val="Arial"/>
      <family val="2"/>
    </font>
    <font>
      <sz val="9"/>
      <name val="Tahoma"/>
      <family val="2"/>
    </font>
    <font>
      <b/>
      <sz val="8"/>
      <name val="Arial"/>
      <family val="2"/>
    </font>
  </fonts>
  <fills count="3">
    <fill>
      <patternFill/>
    </fill>
    <fill>
      <patternFill patternType="gray125"/>
    </fill>
    <fill>
      <patternFill patternType="solid">
        <fgColor indexed="41"/>
        <bgColor indexed="64"/>
      </patternFill>
    </fill>
  </fills>
  <borders count="23">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24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 fontId="0" fillId="0" borderId="0" xfId="0" applyNumberFormat="1" applyAlignment="1">
      <alignment/>
    </xf>
    <xf numFmtId="174" fontId="0" fillId="0" borderId="0" xfId="0" applyNumberForma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horizontal="center"/>
    </xf>
    <xf numFmtId="174" fontId="0" fillId="0" borderId="0" xfId="0" applyNumberFormat="1" applyBorder="1" applyAlignment="1">
      <alignment/>
    </xf>
    <xf numFmtId="174" fontId="0" fillId="0" borderId="0" xfId="17" applyNumberFormat="1" applyBorder="1" applyAlignment="1">
      <alignment/>
    </xf>
    <xf numFmtId="0" fontId="0" fillId="0" borderId="0" xfId="0" applyBorder="1" applyAlignment="1">
      <alignment/>
    </xf>
    <xf numFmtId="2" fontId="0" fillId="0" borderId="0" xfId="0" applyNumberFormat="1" applyAlignment="1">
      <alignment/>
    </xf>
    <xf numFmtId="0" fontId="6" fillId="0" borderId="0" xfId="0" applyFont="1" applyAlignment="1">
      <alignment horizontal="center"/>
    </xf>
    <xf numFmtId="0" fontId="6" fillId="0" borderId="0" xfId="0" applyFont="1" applyAlignment="1">
      <alignment/>
    </xf>
    <xf numFmtId="165" fontId="0" fillId="0" borderId="0" xfId="0" applyNumberFormat="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74" fontId="0" fillId="0" borderId="4" xfId="0" applyNumberFormat="1" applyBorder="1" applyAlignment="1">
      <alignment/>
    </xf>
    <xf numFmtId="174" fontId="0" fillId="0" borderId="1" xfId="0" applyNumberFormat="1" applyBorder="1" applyAlignment="1">
      <alignment/>
    </xf>
    <xf numFmtId="1" fontId="0" fillId="0" borderId="1" xfId="0" applyNumberFormat="1" applyBorder="1" applyAlignment="1">
      <alignment/>
    </xf>
    <xf numFmtId="2" fontId="0" fillId="0" borderId="1" xfId="0" applyNumberFormat="1" applyBorder="1" applyAlignment="1">
      <alignment/>
    </xf>
    <xf numFmtId="165" fontId="0" fillId="0" borderId="0" xfId="0" applyNumberFormat="1" applyBorder="1" applyAlignment="1">
      <alignment/>
    </xf>
    <xf numFmtId="0" fontId="5" fillId="0" borderId="0" xfId="0" applyFont="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174" fontId="0" fillId="0" borderId="5" xfId="17" applyNumberFormat="1" applyBorder="1" applyAlignment="1">
      <alignment/>
    </xf>
    <xf numFmtId="1" fontId="0" fillId="0" borderId="0" xfId="0" applyNumberFormat="1" applyFont="1" applyAlignment="1">
      <alignment/>
    </xf>
    <xf numFmtId="174" fontId="1" fillId="0" borderId="0" xfId="0" applyNumberFormat="1" applyFont="1" applyAlignment="1">
      <alignment/>
    </xf>
    <xf numFmtId="5" fontId="0" fillId="0" borderId="0" xfId="17" applyNumberFormat="1" applyAlignment="1">
      <alignment/>
    </xf>
    <xf numFmtId="14" fontId="0" fillId="0" borderId="0" xfId="0" applyNumberFormat="1" applyAlignment="1">
      <alignment/>
    </xf>
    <xf numFmtId="0" fontId="0" fillId="0" borderId="0" xfId="0" applyAlignment="1">
      <alignment textRotation="60" wrapText="1"/>
    </xf>
    <xf numFmtId="174" fontId="0" fillId="0" borderId="0" xfId="0" applyNumberFormat="1" applyFont="1" applyAlignment="1">
      <alignment/>
    </xf>
    <xf numFmtId="177" fontId="0" fillId="0" borderId="0" xfId="0" applyNumberFormat="1" applyFont="1" applyAlignment="1">
      <alignment/>
    </xf>
    <xf numFmtId="174" fontId="1" fillId="0" borderId="1" xfId="0" applyNumberFormat="1" applyFont="1" applyBorder="1" applyAlignment="1">
      <alignment/>
    </xf>
    <xf numFmtId="0" fontId="13" fillId="0" borderId="0" xfId="0" applyFont="1" applyAlignment="1">
      <alignment/>
    </xf>
    <xf numFmtId="0" fontId="5" fillId="0" borderId="7" xfId="0" applyFont="1" applyBorder="1" applyAlignment="1">
      <alignment textRotation="60" wrapText="1"/>
    </xf>
    <xf numFmtId="0" fontId="5" fillId="0" borderId="3" xfId="0" applyFont="1" applyBorder="1" applyAlignment="1">
      <alignment textRotation="60" wrapText="1"/>
    </xf>
    <xf numFmtId="0" fontId="15" fillId="0" borderId="2" xfId="0" applyFont="1" applyBorder="1" applyAlignment="1">
      <alignment textRotation="60" wrapText="1"/>
    </xf>
    <xf numFmtId="0" fontId="1" fillId="0" borderId="2" xfId="0" applyFont="1" applyBorder="1" applyAlignment="1">
      <alignment textRotation="60" wrapText="1"/>
    </xf>
    <xf numFmtId="0" fontId="1" fillId="0" borderId="3" xfId="0" applyFont="1" applyBorder="1" applyAlignment="1">
      <alignment textRotation="60" wrapText="1"/>
    </xf>
    <xf numFmtId="0" fontId="5" fillId="0" borderId="6" xfId="0" applyFont="1" applyBorder="1" applyAlignment="1">
      <alignment textRotation="60" wrapText="1"/>
    </xf>
    <xf numFmtId="177" fontId="0" fillId="0" borderId="1" xfId="0" applyNumberFormat="1" applyFont="1" applyBorder="1" applyAlignment="1">
      <alignment/>
    </xf>
    <xf numFmtId="174" fontId="0" fillId="0" borderId="1" xfId="0" applyNumberFormat="1" applyFont="1" applyBorder="1" applyAlignment="1">
      <alignment/>
    </xf>
    <xf numFmtId="0" fontId="5" fillId="0" borderId="2" xfId="0" applyFont="1" applyBorder="1" applyAlignment="1">
      <alignment textRotation="60" wrapText="1"/>
    </xf>
    <xf numFmtId="0" fontId="1" fillId="0" borderId="1" xfId="0" applyFont="1" applyBorder="1" applyAlignment="1">
      <alignment horizontal="center"/>
    </xf>
    <xf numFmtId="174" fontId="5" fillId="0" borderId="6" xfId="0" applyNumberFormat="1" applyFont="1" applyBorder="1" applyAlignment="1">
      <alignment textRotation="60" wrapText="1"/>
    </xf>
    <xf numFmtId="174" fontId="1" fillId="0" borderId="8" xfId="0" applyNumberFormat="1" applyFont="1" applyBorder="1" applyAlignment="1">
      <alignment/>
    </xf>
    <xf numFmtId="174" fontId="1" fillId="0" borderId="5" xfId="0" applyNumberFormat="1" applyFont="1" applyBorder="1" applyAlignment="1">
      <alignment/>
    </xf>
    <xf numFmtId="0" fontId="0" fillId="0" borderId="1" xfId="0" applyFont="1" applyBorder="1" applyAlignment="1">
      <alignment/>
    </xf>
    <xf numFmtId="0" fontId="16" fillId="0" borderId="0" xfId="0" applyFont="1" applyAlignment="1">
      <alignment/>
    </xf>
    <xf numFmtId="0" fontId="15" fillId="0" borderId="3" xfId="0" applyFont="1" applyBorder="1" applyAlignment="1">
      <alignment horizontal="center" textRotation="60" wrapText="1"/>
    </xf>
    <xf numFmtId="0" fontId="15" fillId="0" borderId="3" xfId="0" applyFont="1" applyBorder="1" applyAlignment="1">
      <alignment textRotation="60" wrapText="1"/>
    </xf>
    <xf numFmtId="0" fontId="13" fillId="0" borderId="0" xfId="0" applyFont="1" applyAlignment="1">
      <alignment horizontal="center"/>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174" fontId="1" fillId="0" borderId="0" xfId="0" applyNumberFormat="1" applyFont="1" applyBorder="1" applyAlignment="1">
      <alignment/>
    </xf>
    <xf numFmtId="174" fontId="1" fillId="0" borderId="9" xfId="0" applyNumberFormat="1" applyFont="1" applyBorder="1" applyAlignment="1">
      <alignment/>
    </xf>
    <xf numFmtId="0" fontId="0" fillId="0" borderId="0" xfId="0" applyFont="1" applyBorder="1" applyAlignment="1">
      <alignment/>
    </xf>
    <xf numFmtId="14" fontId="3" fillId="0" borderId="0" xfId="0" applyNumberFormat="1" applyFont="1" applyAlignment="1">
      <alignment/>
    </xf>
    <xf numFmtId="0" fontId="3" fillId="0" borderId="0" xfId="0" applyFont="1" applyAlignment="1">
      <alignment horizontal="center"/>
    </xf>
    <xf numFmtId="0" fontId="1" fillId="0" borderId="0" xfId="0" applyFont="1" applyBorder="1" applyAlignment="1">
      <alignment horizontal="center"/>
    </xf>
    <xf numFmtId="14" fontId="0" fillId="0" borderId="0" xfId="0" applyNumberFormat="1" applyFont="1" applyAlignment="1">
      <alignment/>
    </xf>
    <xf numFmtId="0" fontId="0" fillId="0" borderId="0" xfId="0" applyFont="1" applyAlignment="1">
      <alignment horizontal="center"/>
    </xf>
    <xf numFmtId="174" fontId="0" fillId="0" borderId="0" xfId="17" applyNumberFormat="1" applyFont="1" applyAlignment="1">
      <alignment horizontal="center"/>
    </xf>
    <xf numFmtId="174" fontId="0" fillId="0" borderId="0" xfId="17" applyNumberFormat="1" applyFont="1" applyAlignment="1">
      <alignment/>
    </xf>
    <xf numFmtId="174" fontId="0" fillId="0" borderId="2" xfId="0" applyNumberFormat="1" applyFont="1" applyBorder="1" applyAlignment="1">
      <alignment textRotation="60" wrapText="1"/>
    </xf>
    <xf numFmtId="174" fontId="0" fillId="0" borderId="3" xfId="0" applyNumberFormat="1" applyFont="1" applyBorder="1" applyAlignment="1">
      <alignment textRotation="60" wrapText="1"/>
    </xf>
    <xf numFmtId="0" fontId="0" fillId="0" borderId="2" xfId="0" applyFont="1" applyBorder="1" applyAlignment="1">
      <alignment textRotation="60" wrapText="1"/>
    </xf>
    <xf numFmtId="0" fontId="0" fillId="0" borderId="3" xfId="0" applyFont="1" applyBorder="1" applyAlignment="1">
      <alignment textRotation="60" wrapText="1"/>
    </xf>
    <xf numFmtId="0" fontId="0" fillId="0" borderId="0" xfId="0" applyFont="1" applyAlignment="1">
      <alignment textRotation="60" wrapText="1"/>
    </xf>
    <xf numFmtId="0" fontId="0" fillId="0" borderId="9" xfId="0" applyFont="1" applyBorder="1" applyAlignment="1">
      <alignment/>
    </xf>
    <xf numFmtId="174" fontId="0" fillId="0" borderId="9" xfId="0" applyNumberFormat="1" applyFont="1" applyBorder="1" applyAlignment="1">
      <alignment/>
    </xf>
    <xf numFmtId="174" fontId="0" fillId="0" borderId="5" xfId="0" applyNumberFormat="1" applyFont="1" applyBorder="1" applyAlignment="1">
      <alignment/>
    </xf>
    <xf numFmtId="18" fontId="16" fillId="0" borderId="0" xfId="0" applyNumberFormat="1" applyFont="1" applyBorder="1" applyAlignment="1">
      <alignment horizontal="right"/>
    </xf>
    <xf numFmtId="18" fontId="16" fillId="0" borderId="1" xfId="0" applyNumberFormat="1" applyFont="1" applyBorder="1" applyAlignment="1">
      <alignment horizontal="right"/>
    </xf>
    <xf numFmtId="174" fontId="0" fillId="0" borderId="0" xfId="0" applyNumberFormat="1" applyFont="1" applyBorder="1" applyAlignment="1">
      <alignment/>
    </xf>
    <xf numFmtId="1" fontId="16"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alignment/>
    </xf>
    <xf numFmtId="1" fontId="0" fillId="0" borderId="9" xfId="0" applyNumberFormat="1" applyFont="1" applyBorder="1" applyAlignment="1">
      <alignment/>
    </xf>
    <xf numFmtId="1" fontId="0" fillId="0" borderId="1" xfId="0" applyNumberFormat="1" applyFont="1" applyBorder="1" applyAlignment="1">
      <alignment/>
    </xf>
    <xf numFmtId="174" fontId="0" fillId="0" borderId="0" xfId="17" applyNumberFormat="1" applyFont="1" applyAlignment="1">
      <alignment/>
    </xf>
    <xf numFmtId="174" fontId="1" fillId="0" borderId="10" xfId="0" applyNumberFormat="1" applyFont="1" applyBorder="1" applyAlignment="1">
      <alignment/>
    </xf>
    <xf numFmtId="174" fontId="0" fillId="0" borderId="0" xfId="17" applyNumberFormat="1" applyFont="1" applyAlignment="1">
      <alignment horizontal="right"/>
    </xf>
    <xf numFmtId="5" fontId="0" fillId="0" borderId="0" xfId="17" applyNumberFormat="1" applyFont="1" applyAlignment="1">
      <alignment horizontal="right"/>
    </xf>
    <xf numFmtId="0" fontId="13" fillId="0" borderId="2" xfId="0" applyFont="1" applyBorder="1" applyAlignment="1">
      <alignment/>
    </xf>
    <xf numFmtId="0" fontId="4" fillId="0" borderId="7" xfId="0" applyFont="1" applyBorder="1" applyAlignment="1">
      <alignment textRotation="60" wrapText="1"/>
    </xf>
    <xf numFmtId="174" fontId="0" fillId="0" borderId="8" xfId="0" applyNumberFormat="1" applyFont="1" applyBorder="1" applyAlignment="1">
      <alignment/>
    </xf>
    <xf numFmtId="14" fontId="17" fillId="0" borderId="0" xfId="0" applyNumberFormat="1" applyFont="1" applyAlignment="1">
      <alignment/>
    </xf>
    <xf numFmtId="0" fontId="0" fillId="0" borderId="7" xfId="0" applyBorder="1" applyAlignment="1">
      <alignment horizontal="center"/>
    </xf>
    <xf numFmtId="165" fontId="0" fillId="0" borderId="1" xfId="0" applyNumberFormat="1" applyBorder="1" applyAlignment="1">
      <alignment/>
    </xf>
    <xf numFmtId="14" fontId="0" fillId="0" borderId="0" xfId="0" applyNumberFormat="1" applyAlignment="1">
      <alignment horizontal="center"/>
    </xf>
    <xf numFmtId="5" fontId="0" fillId="0" borderId="0" xfId="17" applyNumberFormat="1" applyAlignment="1">
      <alignment horizontal="center"/>
    </xf>
    <xf numFmtId="0" fontId="0" fillId="0" borderId="0"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 xfId="0" applyBorder="1" applyAlignment="1">
      <alignment horizontal="left"/>
    </xf>
    <xf numFmtId="174" fontId="0" fillId="0" borderId="1" xfId="17" applyNumberFormat="1" applyBorder="1" applyAlignment="1">
      <alignment/>
    </xf>
    <xf numFmtId="0" fontId="0" fillId="0" borderId="1" xfId="0" applyBorder="1" applyAlignment="1">
      <alignment/>
    </xf>
    <xf numFmtId="0" fontId="0" fillId="0" borderId="1" xfId="0" applyBorder="1" applyAlignment="1">
      <alignment horizontal="right"/>
    </xf>
    <xf numFmtId="0" fontId="0" fillId="0" borderId="2" xfId="0" applyFont="1" applyBorder="1" applyAlignment="1">
      <alignment horizontal="center"/>
    </xf>
    <xf numFmtId="0" fontId="0" fillId="0" borderId="3" xfId="0" applyFont="1" applyBorder="1" applyAlignment="1">
      <alignment horizontal="center"/>
    </xf>
    <xf numFmtId="1" fontId="0" fillId="0" borderId="0" xfId="0" applyNumberFormat="1" applyAlignment="1">
      <alignment horizontal="left"/>
    </xf>
    <xf numFmtId="174" fontId="0" fillId="0" borderId="0" xfId="0" applyNumberFormat="1" applyFill="1" applyAlignment="1">
      <alignment/>
    </xf>
    <xf numFmtId="0" fontId="1" fillId="0" borderId="0" xfId="0" applyFont="1" applyFill="1" applyAlignment="1">
      <alignment horizontal="center"/>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center"/>
    </xf>
    <xf numFmtId="0" fontId="0" fillId="0" borderId="0" xfId="0" applyFill="1" applyBorder="1" applyAlignment="1">
      <alignment horizontal="center"/>
    </xf>
    <xf numFmtId="2" fontId="0" fillId="0" borderId="0" xfId="0" applyNumberFormat="1" applyFill="1" applyBorder="1" applyAlignment="1">
      <alignment/>
    </xf>
    <xf numFmtId="0" fontId="15" fillId="0" borderId="0" xfId="0" applyFont="1" applyAlignment="1">
      <alignment horizontal="center"/>
    </xf>
    <xf numFmtId="174" fontId="0" fillId="0" borderId="6" xfId="0" applyNumberFormat="1" applyFont="1" applyBorder="1" applyAlignment="1">
      <alignment/>
    </xf>
    <xf numFmtId="174" fontId="0" fillId="0" borderId="3" xfId="0" applyNumberFormat="1" applyFont="1" applyBorder="1" applyAlignment="1">
      <alignment/>
    </xf>
    <xf numFmtId="174" fontId="1" fillId="0" borderId="6" xfId="0" applyNumberFormat="1" applyFont="1" applyBorder="1" applyAlignment="1">
      <alignment/>
    </xf>
    <xf numFmtId="18" fontId="0" fillId="0" borderId="0" xfId="0" applyNumberFormat="1" applyFont="1" applyBorder="1" applyAlignment="1">
      <alignment horizontal="left"/>
    </xf>
    <xf numFmtId="0" fontId="0" fillId="0" borderId="11" xfId="0" applyFont="1" applyBorder="1" applyAlignment="1">
      <alignment/>
    </xf>
    <xf numFmtId="0" fontId="1" fillId="0" borderId="12" xfId="0" applyFont="1" applyBorder="1" applyAlignment="1">
      <alignment horizontal="center"/>
    </xf>
    <xf numFmtId="1" fontId="0" fillId="0" borderId="11" xfId="0" applyNumberFormat="1" applyFont="1" applyBorder="1" applyAlignment="1">
      <alignment/>
    </xf>
    <xf numFmtId="1" fontId="16" fillId="0" borderId="11" xfId="0" applyNumberFormat="1" applyFont="1" applyBorder="1" applyAlignment="1">
      <alignment horizontal="right"/>
    </xf>
    <xf numFmtId="1" fontId="0" fillId="0" borderId="12" xfId="0" applyNumberFormat="1" applyFont="1" applyBorder="1" applyAlignment="1">
      <alignment/>
    </xf>
    <xf numFmtId="174" fontId="0" fillId="0" borderId="11" xfId="0" applyNumberFormat="1" applyFont="1" applyBorder="1" applyAlignment="1">
      <alignment/>
    </xf>
    <xf numFmtId="174" fontId="0" fillId="0" borderId="12" xfId="0" applyNumberFormat="1" applyFont="1" applyBorder="1" applyAlignment="1">
      <alignment/>
    </xf>
    <xf numFmtId="174" fontId="1" fillId="0" borderId="12" xfId="0" applyNumberFormat="1" applyFont="1" applyBorder="1" applyAlignment="1">
      <alignment/>
    </xf>
    <xf numFmtId="174" fontId="0" fillId="0" borderId="13" xfId="0" applyNumberFormat="1" applyFont="1" applyBorder="1" applyAlignment="1">
      <alignment/>
    </xf>
    <xf numFmtId="0" fontId="15" fillId="0" borderId="14" xfId="0" applyFont="1" applyBorder="1" applyAlignment="1">
      <alignment textRotation="60" wrapText="1"/>
    </xf>
    <xf numFmtId="0" fontId="15" fillId="0" borderId="15" xfId="0" applyFont="1" applyBorder="1" applyAlignment="1">
      <alignment horizontal="center" textRotation="60" wrapText="1"/>
    </xf>
    <xf numFmtId="0" fontId="15" fillId="0" borderId="15" xfId="0" applyFont="1" applyBorder="1" applyAlignment="1">
      <alignment textRotation="60" wrapText="1"/>
    </xf>
    <xf numFmtId="174" fontId="0" fillId="0" borderId="14" xfId="0" applyNumberFormat="1" applyFont="1" applyBorder="1" applyAlignment="1">
      <alignment textRotation="60" wrapText="1"/>
    </xf>
    <xf numFmtId="0" fontId="0" fillId="0" borderId="14" xfId="0" applyFont="1" applyBorder="1" applyAlignment="1">
      <alignment textRotation="60" wrapText="1"/>
    </xf>
    <xf numFmtId="174" fontId="0" fillId="2" borderId="14" xfId="0" applyNumberFormat="1" applyFont="1" applyFill="1" applyBorder="1" applyAlignment="1">
      <alignment textRotation="60" wrapText="1"/>
    </xf>
    <xf numFmtId="0" fontId="0" fillId="2" borderId="14" xfId="0" applyFont="1" applyFill="1" applyBorder="1" applyAlignment="1">
      <alignment textRotation="60" wrapText="1"/>
    </xf>
    <xf numFmtId="174" fontId="0" fillId="2" borderId="0" xfId="0" applyNumberFormat="1" applyFont="1" applyFill="1" applyAlignment="1">
      <alignment/>
    </xf>
    <xf numFmtId="174" fontId="0" fillId="2" borderId="1" xfId="0" applyNumberFormat="1" applyFont="1" applyFill="1" applyBorder="1" applyAlignment="1">
      <alignment/>
    </xf>
    <xf numFmtId="174" fontId="0" fillId="2" borderId="0" xfId="0" applyNumberFormat="1" applyFont="1" applyFill="1" applyBorder="1" applyAlignment="1">
      <alignment/>
    </xf>
    <xf numFmtId="174" fontId="0" fillId="2" borderId="11" xfId="0" applyNumberFormat="1" applyFont="1" applyFill="1" applyBorder="1" applyAlignment="1">
      <alignment/>
    </xf>
    <xf numFmtId="174" fontId="0" fillId="2" borderId="12" xfId="0" applyNumberFormat="1" applyFont="1" applyFill="1" applyBorder="1" applyAlignment="1">
      <alignment/>
    </xf>
    <xf numFmtId="174" fontId="0" fillId="2" borderId="5" xfId="0" applyNumberFormat="1" applyFont="1" applyFill="1" applyBorder="1" applyAlignment="1">
      <alignment/>
    </xf>
    <xf numFmtId="174" fontId="0" fillId="0" borderId="0" xfId="0" applyNumberFormat="1" applyFont="1" applyFill="1" applyBorder="1" applyAlignment="1">
      <alignment/>
    </xf>
    <xf numFmtId="174" fontId="0" fillId="0" borderId="11" xfId="0" applyNumberFormat="1" applyFont="1" applyFill="1" applyBorder="1" applyAlignment="1">
      <alignment/>
    </xf>
    <xf numFmtId="174" fontId="23" fillId="0" borderId="16" xfId="0" applyNumberFormat="1" applyFont="1" applyBorder="1" applyAlignment="1">
      <alignment textRotation="60" wrapText="1"/>
    </xf>
    <xf numFmtId="0" fontId="23" fillId="0" borderId="14" xfId="0" applyFont="1" applyBorder="1" applyAlignment="1">
      <alignment/>
    </xf>
    <xf numFmtId="174" fontId="23" fillId="2" borderId="16" xfId="0" applyNumberFormat="1" applyFont="1" applyFill="1" applyBorder="1" applyAlignment="1">
      <alignment textRotation="60" wrapText="1"/>
    </xf>
    <xf numFmtId="0" fontId="24" fillId="2" borderId="14" xfId="0" applyFont="1" applyFill="1" applyBorder="1" applyAlignment="1">
      <alignment/>
    </xf>
    <xf numFmtId="0" fontId="23" fillId="0" borderId="16" xfId="0" applyFont="1" applyBorder="1" applyAlignment="1">
      <alignment textRotation="60" wrapText="1"/>
    </xf>
    <xf numFmtId="0" fontId="23" fillId="2" borderId="16" xfId="0" applyFont="1" applyFill="1" applyBorder="1" applyAlignment="1">
      <alignment textRotation="60" wrapText="1"/>
    </xf>
    <xf numFmtId="0" fontId="23" fillId="0" borderId="14" xfId="0" applyFont="1" applyBorder="1" applyAlignment="1">
      <alignment textRotation="60" wrapText="1"/>
    </xf>
    <xf numFmtId="0" fontId="0" fillId="2" borderId="14" xfId="0" applyFill="1" applyBorder="1" applyAlignment="1">
      <alignment/>
    </xf>
    <xf numFmtId="0" fontId="23" fillId="0" borderId="16" xfId="0" applyFont="1" applyFill="1" applyBorder="1" applyAlignment="1">
      <alignment textRotation="60" wrapText="1"/>
    </xf>
    <xf numFmtId="174" fontId="13" fillId="0" borderId="14" xfId="0" applyNumberFormat="1" applyFont="1" applyBorder="1" applyAlignment="1">
      <alignment textRotation="60" wrapText="1"/>
    </xf>
    <xf numFmtId="174" fontId="13" fillId="2" borderId="14" xfId="0" applyNumberFormat="1" applyFont="1" applyFill="1" applyBorder="1" applyAlignment="1">
      <alignment textRotation="60" wrapText="1"/>
    </xf>
    <xf numFmtId="174" fontId="0" fillId="2" borderId="13" xfId="0" applyNumberFormat="1" applyFont="1" applyFill="1" applyBorder="1" applyAlignment="1">
      <alignment/>
    </xf>
    <xf numFmtId="174" fontId="13" fillId="2" borderId="15" xfId="0" applyNumberFormat="1" applyFont="1" applyFill="1" applyBorder="1" applyAlignment="1">
      <alignment textRotation="60" wrapText="1"/>
    </xf>
    <xf numFmtId="0" fontId="0" fillId="0" borderId="14" xfId="0" applyBorder="1" applyAlignment="1">
      <alignment/>
    </xf>
    <xf numFmtId="174" fontId="0" fillId="0" borderId="5" xfId="0" applyNumberFormat="1" applyBorder="1" applyAlignment="1">
      <alignment/>
    </xf>
    <xf numFmtId="174" fontId="0" fillId="0" borderId="13" xfId="0" applyNumberFormat="1" applyBorder="1" applyAlignment="1">
      <alignment/>
    </xf>
    <xf numFmtId="174" fontId="0" fillId="0" borderId="17" xfId="0" applyNumberFormat="1" applyFont="1" applyBorder="1" applyAlignment="1">
      <alignment/>
    </xf>
    <xf numFmtId="174" fontId="0" fillId="2" borderId="17" xfId="0" applyNumberFormat="1" applyFont="1" applyFill="1" applyBorder="1" applyAlignment="1">
      <alignment/>
    </xf>
    <xf numFmtId="174" fontId="23" fillId="0" borderId="14" xfId="0" applyNumberFormat="1" applyFont="1" applyBorder="1" applyAlignment="1">
      <alignment textRotation="60" wrapText="1"/>
    </xf>
    <xf numFmtId="174" fontId="23" fillId="2" borderId="14" xfId="0" applyNumberFormat="1" applyFont="1" applyFill="1" applyBorder="1" applyAlignment="1">
      <alignment textRotation="60" wrapText="1"/>
    </xf>
    <xf numFmtId="0" fontId="23" fillId="2" borderId="14" xfId="0" applyFont="1" applyFill="1" applyBorder="1" applyAlignment="1">
      <alignment textRotation="60" wrapText="1"/>
    </xf>
    <xf numFmtId="0" fontId="23" fillId="0" borderId="14" xfId="0" applyFont="1" applyFill="1" applyBorder="1" applyAlignment="1">
      <alignment textRotation="60" wrapText="1"/>
    </xf>
    <xf numFmtId="0" fontId="0" fillId="0" borderId="0" xfId="0" applyFont="1" applyBorder="1" applyAlignment="1">
      <alignment/>
    </xf>
    <xf numFmtId="0" fontId="0" fillId="0" borderId="1" xfId="0" applyFont="1" applyBorder="1" applyAlignment="1">
      <alignment/>
    </xf>
    <xf numFmtId="174" fontId="1" fillId="0" borderId="0" xfId="0" applyNumberFormat="1" applyFont="1" applyBorder="1" applyAlignment="1">
      <alignment/>
    </xf>
    <xf numFmtId="0" fontId="1" fillId="0" borderId="0" xfId="0" applyFont="1" applyBorder="1" applyAlignment="1">
      <alignment/>
    </xf>
    <xf numFmtId="174" fontId="0" fillId="0" borderId="0" xfId="0" applyNumberFormat="1" applyFont="1" applyBorder="1" applyAlignment="1">
      <alignment/>
    </xf>
    <xf numFmtId="174" fontId="1" fillId="2" borderId="0" xfId="0" applyNumberFormat="1" applyFont="1" applyFill="1" applyBorder="1" applyAlignment="1">
      <alignment/>
    </xf>
    <xf numFmtId="0" fontId="0" fillId="2" borderId="0" xfId="0" applyFont="1" applyFill="1" applyBorder="1" applyAlignment="1">
      <alignment/>
    </xf>
    <xf numFmtId="174" fontId="0" fillId="2" borderId="0" xfId="0" applyNumberFormat="1" applyFont="1" applyFill="1" applyBorder="1" applyAlignment="1">
      <alignment/>
    </xf>
    <xf numFmtId="0" fontId="1" fillId="2" borderId="0" xfId="0" applyFont="1" applyFill="1" applyBorder="1" applyAlignment="1">
      <alignment/>
    </xf>
    <xf numFmtId="0" fontId="1" fillId="0" borderId="0" xfId="0" applyFont="1" applyFill="1" applyBorder="1" applyAlignment="1">
      <alignment/>
    </xf>
    <xf numFmtId="174" fontId="0" fillId="2" borderId="1" xfId="0" applyNumberFormat="1" applyFont="1" applyFill="1" applyBorder="1" applyAlignment="1">
      <alignment/>
    </xf>
    <xf numFmtId="0" fontId="1" fillId="0" borderId="1" xfId="0" applyFont="1" applyBorder="1" applyAlignment="1">
      <alignment/>
    </xf>
    <xf numFmtId="0" fontId="0" fillId="0" borderId="0" xfId="0" applyFont="1" applyAlignment="1">
      <alignment/>
    </xf>
    <xf numFmtId="174" fontId="0" fillId="0" borderId="18" xfId="0" applyNumberFormat="1" applyFont="1" applyBorder="1" applyAlignment="1">
      <alignment/>
    </xf>
    <xf numFmtId="174" fontId="1" fillId="0" borderId="18" xfId="0" applyNumberFormat="1" applyFont="1" applyBorder="1" applyAlignment="1">
      <alignment/>
    </xf>
    <xf numFmtId="174" fontId="1" fillId="0" borderId="1" xfId="0" applyNumberFormat="1" applyFont="1" applyBorder="1" applyAlignment="1">
      <alignment/>
    </xf>
    <xf numFmtId="174" fontId="0" fillId="2" borderId="18" xfId="0" applyNumberFormat="1" applyFont="1" applyFill="1" applyBorder="1" applyAlignment="1">
      <alignment/>
    </xf>
    <xf numFmtId="174" fontId="1" fillId="2" borderId="18" xfId="0" applyNumberFormat="1" applyFont="1" applyFill="1" applyBorder="1" applyAlignment="1">
      <alignment/>
    </xf>
    <xf numFmtId="174" fontId="1" fillId="2" borderId="1" xfId="0" applyNumberFormat="1" applyFont="1" applyFill="1" applyBorder="1" applyAlignment="1">
      <alignment/>
    </xf>
    <xf numFmtId="174" fontId="0" fillId="0" borderId="0" xfId="0" applyNumberFormat="1" applyFont="1" applyFill="1" applyBorder="1" applyAlignment="1">
      <alignment/>
    </xf>
    <xf numFmtId="0" fontId="1" fillId="0" borderId="18" xfId="0" applyFont="1" applyBorder="1" applyAlignment="1">
      <alignment/>
    </xf>
    <xf numFmtId="0" fontId="1" fillId="2" borderId="18" xfId="0" applyFont="1" applyFill="1" applyBorder="1" applyAlignment="1">
      <alignment/>
    </xf>
    <xf numFmtId="0" fontId="1" fillId="2" borderId="1" xfId="0" applyFont="1" applyFill="1" applyBorder="1" applyAlignment="1">
      <alignment/>
    </xf>
    <xf numFmtId="174" fontId="0" fillId="2" borderId="19" xfId="0" applyNumberFormat="1" applyFont="1" applyFill="1" applyBorder="1" applyAlignment="1">
      <alignment/>
    </xf>
    <xf numFmtId="0" fontId="1" fillId="0" borderId="18" xfId="0" applyFont="1" applyFill="1" applyBorder="1" applyAlignment="1">
      <alignment/>
    </xf>
    <xf numFmtId="174" fontId="0" fillId="0" borderId="19" xfId="0" applyNumberFormat="1" applyFont="1" applyBorder="1" applyAlignment="1">
      <alignment/>
    </xf>
    <xf numFmtId="0" fontId="0" fillId="0" borderId="18" xfId="0" applyFont="1" applyBorder="1" applyAlignment="1">
      <alignment/>
    </xf>
    <xf numFmtId="0" fontId="0" fillId="2" borderId="18" xfId="0" applyFont="1" applyFill="1" applyBorder="1" applyAlignment="1">
      <alignment/>
    </xf>
    <xf numFmtId="0" fontId="0" fillId="2" borderId="1" xfId="0" applyFont="1" applyFill="1" applyBorder="1" applyAlignment="1">
      <alignment/>
    </xf>
    <xf numFmtId="174" fontId="1" fillId="2" borderId="5" xfId="0" applyNumberFormat="1" applyFont="1" applyFill="1" applyBorder="1" applyAlignment="1">
      <alignment/>
    </xf>
    <xf numFmtId="174" fontId="1" fillId="2" borderId="13" xfId="0" applyNumberFormat="1" applyFont="1" applyFill="1" applyBorder="1" applyAlignment="1">
      <alignment/>
    </xf>
    <xf numFmtId="174" fontId="0" fillId="2" borderId="5" xfId="0" applyNumberFormat="1" applyFont="1" applyFill="1" applyBorder="1" applyAlignment="1">
      <alignment/>
    </xf>
    <xf numFmtId="174" fontId="1" fillId="0" borderId="5" xfId="0" applyNumberFormat="1" applyFont="1" applyBorder="1" applyAlignment="1">
      <alignment/>
    </xf>
    <xf numFmtId="0" fontId="7" fillId="0" borderId="0" xfId="0" applyFont="1" applyAlignment="1">
      <alignment/>
    </xf>
    <xf numFmtId="0" fontId="1" fillId="0" borderId="15" xfId="0" applyFont="1" applyBorder="1" applyAlignment="1">
      <alignment textRotation="60" wrapText="1"/>
    </xf>
    <xf numFmtId="0" fontId="25" fillId="2" borderId="20" xfId="0" applyFont="1" applyFill="1" applyBorder="1" applyAlignment="1">
      <alignment textRotation="60" wrapText="1"/>
    </xf>
    <xf numFmtId="0" fontId="1" fillId="0" borderId="20" xfId="0" applyFont="1" applyBorder="1" applyAlignment="1">
      <alignment textRotation="60" wrapText="1"/>
    </xf>
    <xf numFmtId="0" fontId="26" fillId="0" borderId="0" xfId="0" applyFont="1" applyAlignment="1">
      <alignment/>
    </xf>
    <xf numFmtId="14" fontId="2" fillId="0" borderId="0" xfId="0" applyNumberFormat="1" applyFont="1" applyAlignment="1">
      <alignment/>
    </xf>
    <xf numFmtId="0" fontId="26" fillId="0" borderId="0" xfId="0" applyFont="1" applyAlignment="1">
      <alignment horizontal="center"/>
    </xf>
    <xf numFmtId="5" fontId="0" fillId="0" borderId="0" xfId="17" applyNumberFormat="1" applyAlignment="1">
      <alignment horizontal="center"/>
    </xf>
    <xf numFmtId="1" fontId="15" fillId="0" borderId="21" xfId="0" applyNumberFormat="1" applyFont="1" applyBorder="1" applyAlignment="1">
      <alignment horizontal="center"/>
    </xf>
    <xf numFmtId="1" fontId="5" fillId="0" borderId="21" xfId="0" applyNumberFormat="1" applyFont="1" applyBorder="1" applyAlignment="1">
      <alignment horizontal="center"/>
    </xf>
    <xf numFmtId="0" fontId="1" fillId="0" borderId="22" xfId="0" applyFont="1" applyBorder="1" applyAlignment="1">
      <alignment horizontal="center"/>
    </xf>
    <xf numFmtId="0" fontId="0" fillId="0" borderId="22" xfId="0" applyFont="1" applyBorder="1" applyAlignment="1">
      <alignment horizontal="center"/>
    </xf>
    <xf numFmtId="0" fontId="0" fillId="2" borderId="0" xfId="0" applyFill="1" applyAlignment="1">
      <alignment horizontal="left"/>
    </xf>
    <xf numFmtId="0" fontId="0" fillId="2" borderId="0" xfId="0" applyFill="1" applyAlignment="1">
      <alignment/>
    </xf>
    <xf numFmtId="0" fontId="0" fillId="2" borderId="1" xfId="0" applyFill="1" applyBorder="1" applyAlignment="1">
      <alignment/>
    </xf>
    <xf numFmtId="0" fontId="0" fillId="2" borderId="6"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174" fontId="0" fillId="2" borderId="0" xfId="0" applyNumberFormat="1" applyFill="1" applyAlignment="1">
      <alignment/>
    </xf>
    <xf numFmtId="174" fontId="0" fillId="2" borderId="1" xfId="0" applyNumberFormat="1" applyFill="1" applyBorder="1" applyAlignment="1">
      <alignment/>
    </xf>
    <xf numFmtId="174" fontId="0" fillId="2" borderId="6" xfId="0" applyNumberFormat="1" applyFill="1" applyBorder="1" applyAlignment="1">
      <alignment/>
    </xf>
    <xf numFmtId="174" fontId="0" fillId="2" borderId="3" xfId="0" applyNumberFormat="1" applyFill="1" applyBorder="1" applyAlignment="1">
      <alignment/>
    </xf>
    <xf numFmtId="174" fontId="1" fillId="2" borderId="0" xfId="0" applyNumberFormat="1" applyFont="1" applyFill="1" applyAlignment="1">
      <alignment/>
    </xf>
    <xf numFmtId="165" fontId="1" fillId="0" borderId="0" xfId="0" applyNumberFormat="1" applyFont="1" applyBorder="1" applyAlignment="1">
      <alignment/>
    </xf>
    <xf numFmtId="174" fontId="1" fillId="0" borderId="0" xfId="17" applyNumberFormat="1" applyFont="1" applyBorder="1" applyAlignment="1">
      <alignment/>
    </xf>
    <xf numFmtId="0" fontId="0" fillId="0" borderId="3" xfId="0" applyBorder="1" applyAlignment="1">
      <alignment/>
    </xf>
    <xf numFmtId="0" fontId="0" fillId="2" borderId="0" xfId="0" applyFont="1" applyFill="1" applyAlignment="1">
      <alignment horizontal="left"/>
    </xf>
    <xf numFmtId="0" fontId="0" fillId="2" borderId="0" xfId="0" applyFont="1" applyFill="1" applyAlignment="1">
      <alignment/>
    </xf>
    <xf numFmtId="0" fontId="0" fillId="2" borderId="1" xfId="0" applyFont="1" applyFill="1" applyBorder="1" applyAlignment="1">
      <alignment/>
    </xf>
    <xf numFmtId="0" fontId="0" fillId="2" borderId="6" xfId="0" applyFont="1" applyFill="1" applyBorder="1" applyAlignment="1">
      <alignment horizontal="center"/>
    </xf>
    <xf numFmtId="0" fontId="0" fillId="2" borderId="3" xfId="0" applyFont="1" applyFill="1" applyBorder="1" applyAlignment="1">
      <alignment horizontal="center"/>
    </xf>
    <xf numFmtId="0" fontId="0" fillId="2" borderId="2" xfId="0" applyFont="1" applyFill="1" applyBorder="1" applyAlignment="1">
      <alignment horizontal="center"/>
    </xf>
    <xf numFmtId="174" fontId="0" fillId="2" borderId="6" xfId="0" applyNumberFormat="1" applyFont="1" applyFill="1" applyBorder="1" applyAlignment="1">
      <alignment/>
    </xf>
    <xf numFmtId="174" fontId="0" fillId="2" borderId="3" xfId="0" applyNumberFormat="1" applyFont="1" applyFill="1" applyBorder="1" applyAlignment="1">
      <alignment/>
    </xf>
    <xf numFmtId="0" fontId="5" fillId="0" borderId="22" xfId="0" applyFont="1" applyBorder="1" applyAlignment="1">
      <alignment horizontal="center"/>
    </xf>
    <xf numFmtId="0" fontId="1" fillId="2" borderId="0" xfId="0" applyFont="1" applyFill="1" applyAlignment="1">
      <alignment horizontal="left"/>
    </xf>
    <xf numFmtId="0" fontId="1" fillId="2" borderId="0" xfId="0" applyFont="1" applyFill="1" applyAlignment="1">
      <alignment/>
    </xf>
    <xf numFmtId="0" fontId="1" fillId="2" borderId="1" xfId="0" applyFont="1" applyFill="1" applyBorder="1" applyAlignment="1">
      <alignment/>
    </xf>
    <xf numFmtId="0" fontId="1" fillId="0" borderId="1" xfId="0" applyFont="1" applyBorder="1" applyAlignment="1">
      <alignment/>
    </xf>
    <xf numFmtId="0" fontId="2" fillId="0" borderId="0" xfId="0" applyFont="1" applyAlignment="1">
      <alignment horizontal="left"/>
    </xf>
    <xf numFmtId="0" fontId="16" fillId="0" borderId="0" xfId="0" applyFont="1" applyAlignment="1">
      <alignment horizontal="left"/>
    </xf>
    <xf numFmtId="1" fontId="1" fillId="0" borderId="21" xfId="0" applyNumberFormat="1" applyFont="1" applyBorder="1" applyAlignment="1">
      <alignment horizontal="center"/>
    </xf>
    <xf numFmtId="174" fontId="1" fillId="0" borderId="22" xfId="0" applyNumberFormat="1" applyFont="1" applyFill="1" applyBorder="1" applyAlignment="1">
      <alignment horizontal="center"/>
    </xf>
    <xf numFmtId="0" fontId="2" fillId="0" borderId="0" xfId="0" applyFont="1" applyAlignment="1">
      <alignment horizontal="left"/>
    </xf>
  </cellXfs>
  <cellStyles count="9">
    <cellStyle name="Normal" xfId="0"/>
    <cellStyle name="Comma" xfId="15"/>
    <cellStyle name="Comma [0]" xfId="16"/>
    <cellStyle name="Currency" xfId="17"/>
    <cellStyle name="Currency [0]" xfId="18"/>
    <cellStyle name="Normal_dhstest2" xfId="19"/>
    <cellStyle name="Normal_EI Numbers" xfId="20"/>
    <cellStyle name="Normal_Fleet size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1
Estimated Fleet Size of Motor Carriers with (or Likely to Have) TRUs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'[1]Sheet1'!$C$3:$O$3</c:f>
              <c:strCache>
                <c:ptCount val="13"/>
                <c:pt idx="0">
                  <c:v>1 to 5</c:v>
                </c:pt>
                <c:pt idx="1">
                  <c:v>6 to 10</c:v>
                </c:pt>
                <c:pt idx="2">
                  <c:v>11 to 15</c:v>
                </c:pt>
                <c:pt idx="3">
                  <c:v>16 to 20</c:v>
                </c:pt>
                <c:pt idx="4">
                  <c:v>21 to 25</c:v>
                </c:pt>
                <c:pt idx="5">
                  <c:v>26 to 30</c:v>
                </c:pt>
                <c:pt idx="6">
                  <c:v>31 to 35</c:v>
                </c:pt>
                <c:pt idx="7">
                  <c:v>36 to 40</c:v>
                </c:pt>
                <c:pt idx="8">
                  <c:v>41 to 45</c:v>
                </c:pt>
                <c:pt idx="9">
                  <c:v>46 to 50</c:v>
                </c:pt>
                <c:pt idx="10">
                  <c:v>51 to 75</c:v>
                </c:pt>
                <c:pt idx="11">
                  <c:v>76 to 100</c:v>
                </c:pt>
                <c:pt idx="12">
                  <c:v>&gt;100</c:v>
                </c:pt>
              </c:strCache>
            </c:strRef>
          </c:cat>
          <c:val>
            <c:numRef>
              <c:f>'[1]Sheet1'!$C$4:$O$4</c:f>
              <c:numCache>
                <c:ptCount val="13"/>
                <c:pt idx="0">
                  <c:v>752</c:v>
                </c:pt>
                <c:pt idx="1">
                  <c:v>196</c:v>
                </c:pt>
                <c:pt idx="2">
                  <c:v>92</c:v>
                </c:pt>
                <c:pt idx="3">
                  <c:v>44</c:v>
                </c:pt>
                <c:pt idx="4">
                  <c:v>49</c:v>
                </c:pt>
                <c:pt idx="5">
                  <c:v>24</c:v>
                </c:pt>
                <c:pt idx="6">
                  <c:v>30</c:v>
                </c:pt>
                <c:pt idx="7">
                  <c:v>14</c:v>
                </c:pt>
                <c:pt idx="8">
                  <c:v>20</c:v>
                </c:pt>
                <c:pt idx="9">
                  <c:v>9</c:v>
                </c:pt>
                <c:pt idx="10">
                  <c:v>37</c:v>
                </c:pt>
                <c:pt idx="11">
                  <c:v>18</c:v>
                </c:pt>
                <c:pt idx="12">
                  <c:v>54</c:v>
                </c:pt>
              </c:numCache>
            </c:numRef>
          </c:val>
        </c:ser>
        <c:axId val="11937962"/>
        <c:axId val="40332795"/>
      </c:barChart>
      <c:catAx>
        <c:axId val="11937962"/>
        <c:scaling>
          <c:orientation val="minMax"/>
        </c:scaling>
        <c:axPos val="b"/>
        <c:title>
          <c:tx>
            <c:rich>
              <a:bodyPr vert="horz" rot="0" anchor="ctr"/>
              <a:lstStyle/>
              <a:p>
                <a:pPr algn="ctr">
                  <a:defRPr/>
                </a:pPr>
                <a:r>
                  <a:rPr lang="en-US" cap="none" sz="1000" b="1" i="0" u="none" baseline="0">
                    <a:latin typeface="Arial"/>
                    <a:ea typeface="Arial"/>
                    <a:cs typeface="Arial"/>
                  </a:rPr>
                  <a:t>Heavy-Duty Vehicles (Refrigerated and Non-refrigerated)</a:t>
                </a:r>
              </a:p>
            </c:rich>
          </c:tx>
          <c:layout/>
          <c:overlay val="0"/>
          <c:spPr>
            <a:noFill/>
            <a:ln>
              <a:noFill/>
            </a:ln>
          </c:spPr>
        </c:title>
        <c:delete val="0"/>
        <c:numFmt formatCode="General" sourceLinked="1"/>
        <c:majorTickMark val="out"/>
        <c:minorTickMark val="none"/>
        <c:tickLblPos val="nextTo"/>
        <c:crossAx val="40332795"/>
        <c:crosses val="autoZero"/>
        <c:auto val="1"/>
        <c:lblOffset val="100"/>
        <c:noMultiLvlLbl val="0"/>
      </c:catAx>
      <c:valAx>
        <c:axId val="40332795"/>
        <c:scaling>
          <c:orientation val="minMax"/>
        </c:scaling>
        <c:axPos val="l"/>
        <c:title>
          <c:tx>
            <c:rich>
              <a:bodyPr vert="horz" rot="-5400000" anchor="ctr"/>
              <a:lstStyle/>
              <a:p>
                <a:pPr algn="ctr">
                  <a:defRPr/>
                </a:pPr>
                <a:r>
                  <a:rPr lang="en-US" cap="none" sz="1000" b="1" i="0" u="none" baseline="0">
                    <a:latin typeface="Arial"/>
                    <a:ea typeface="Arial"/>
                    <a:cs typeface="Arial"/>
                  </a:rPr>
                  <a:t>Number of Carriers</a:t>
                </a:r>
              </a:p>
            </c:rich>
          </c:tx>
          <c:layout/>
          <c:overlay val="0"/>
          <c:spPr>
            <a:noFill/>
            <a:ln>
              <a:noFill/>
            </a:ln>
          </c:spPr>
        </c:title>
        <c:majorGridlines/>
        <c:delete val="0"/>
        <c:numFmt formatCode="General" sourceLinked="1"/>
        <c:majorTickMark val="out"/>
        <c:minorTickMark val="none"/>
        <c:tickLblPos val="nextTo"/>
        <c:crossAx val="1193796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2
Number of Employees per Facility 6 (2/bin)</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'[2]Calcs'!$AH$6:$AH$76</c:f>
              <c:numCache>
                <c:ptCount val="71"/>
                <c:pt idx="0">
                  <c:v>2</c:v>
                </c:pt>
                <c:pt idx="1">
                  <c:v>4</c:v>
                </c:pt>
                <c:pt idx="2">
                  <c:v>6</c:v>
                </c:pt>
                <c:pt idx="3">
                  <c:v>8</c:v>
                </c:pt>
                <c:pt idx="4">
                  <c:v>10</c:v>
                </c:pt>
                <c:pt idx="5">
                  <c:v>12</c:v>
                </c:pt>
                <c:pt idx="6">
                  <c:v>14</c:v>
                </c:pt>
                <c:pt idx="7">
                  <c:v>16</c:v>
                </c:pt>
                <c:pt idx="8">
                  <c:v>18</c:v>
                </c:pt>
                <c:pt idx="9">
                  <c:v>20</c:v>
                </c:pt>
                <c:pt idx="10">
                  <c:v>22</c:v>
                </c:pt>
                <c:pt idx="11">
                  <c:v>24</c:v>
                </c:pt>
                <c:pt idx="12">
                  <c:v>26</c:v>
                </c:pt>
                <c:pt idx="13">
                  <c:v>28</c:v>
                </c:pt>
                <c:pt idx="14">
                  <c:v>30</c:v>
                </c:pt>
                <c:pt idx="15">
                  <c:v>32</c:v>
                </c:pt>
                <c:pt idx="16">
                  <c:v>34</c:v>
                </c:pt>
                <c:pt idx="17">
                  <c:v>36</c:v>
                </c:pt>
                <c:pt idx="18">
                  <c:v>38</c:v>
                </c:pt>
                <c:pt idx="19">
                  <c:v>40</c:v>
                </c:pt>
                <c:pt idx="20">
                  <c:v>42</c:v>
                </c:pt>
                <c:pt idx="21">
                  <c:v>44</c:v>
                </c:pt>
                <c:pt idx="22">
                  <c:v>46</c:v>
                </c:pt>
                <c:pt idx="23">
                  <c:v>48</c:v>
                </c:pt>
                <c:pt idx="24">
                  <c:v>50</c:v>
                </c:pt>
                <c:pt idx="25">
                  <c:v>52</c:v>
                </c:pt>
                <c:pt idx="26">
                  <c:v>54</c:v>
                </c:pt>
                <c:pt idx="27">
                  <c:v>56</c:v>
                </c:pt>
                <c:pt idx="28">
                  <c:v>58</c:v>
                </c:pt>
                <c:pt idx="29">
                  <c:v>60</c:v>
                </c:pt>
                <c:pt idx="30">
                  <c:v>62</c:v>
                </c:pt>
                <c:pt idx="31">
                  <c:v>64</c:v>
                </c:pt>
                <c:pt idx="32">
                  <c:v>66</c:v>
                </c:pt>
                <c:pt idx="33">
                  <c:v>68</c:v>
                </c:pt>
                <c:pt idx="34">
                  <c:v>70</c:v>
                </c:pt>
                <c:pt idx="35">
                  <c:v>72</c:v>
                </c:pt>
                <c:pt idx="36">
                  <c:v>74</c:v>
                </c:pt>
                <c:pt idx="37">
                  <c:v>76</c:v>
                </c:pt>
                <c:pt idx="38">
                  <c:v>78</c:v>
                </c:pt>
                <c:pt idx="39">
                  <c:v>80</c:v>
                </c:pt>
                <c:pt idx="40">
                  <c:v>82</c:v>
                </c:pt>
                <c:pt idx="41">
                  <c:v>84</c:v>
                </c:pt>
                <c:pt idx="42">
                  <c:v>86</c:v>
                </c:pt>
                <c:pt idx="43">
                  <c:v>88</c:v>
                </c:pt>
                <c:pt idx="44">
                  <c:v>90</c:v>
                </c:pt>
                <c:pt idx="45">
                  <c:v>92</c:v>
                </c:pt>
                <c:pt idx="46">
                  <c:v>94</c:v>
                </c:pt>
                <c:pt idx="47">
                  <c:v>96</c:v>
                </c:pt>
                <c:pt idx="48">
                  <c:v>98</c:v>
                </c:pt>
                <c:pt idx="49">
                  <c:v>100</c:v>
                </c:pt>
                <c:pt idx="50">
                  <c:v>102</c:v>
                </c:pt>
                <c:pt idx="51">
                  <c:v>104</c:v>
                </c:pt>
                <c:pt idx="52">
                  <c:v>106</c:v>
                </c:pt>
                <c:pt idx="53">
                  <c:v>108</c:v>
                </c:pt>
                <c:pt idx="54">
                  <c:v>110</c:v>
                </c:pt>
                <c:pt idx="55">
                  <c:v>120</c:v>
                </c:pt>
                <c:pt idx="56">
                  <c:v>130</c:v>
                </c:pt>
                <c:pt idx="57">
                  <c:v>140</c:v>
                </c:pt>
                <c:pt idx="58">
                  <c:v>150</c:v>
                </c:pt>
                <c:pt idx="59">
                  <c:v>160</c:v>
                </c:pt>
                <c:pt idx="60">
                  <c:v>170</c:v>
                </c:pt>
                <c:pt idx="61">
                  <c:v>180</c:v>
                </c:pt>
                <c:pt idx="62">
                  <c:v>190</c:v>
                </c:pt>
                <c:pt idx="63">
                  <c:v>200</c:v>
                </c:pt>
                <c:pt idx="64">
                  <c:v>210</c:v>
                </c:pt>
                <c:pt idx="65">
                  <c:v>220</c:v>
                </c:pt>
                <c:pt idx="66">
                  <c:v>230</c:v>
                </c:pt>
                <c:pt idx="67">
                  <c:v>240</c:v>
                </c:pt>
                <c:pt idx="68">
                  <c:v>250</c:v>
                </c:pt>
                <c:pt idx="69">
                  <c:v>260</c:v>
                </c:pt>
                <c:pt idx="70">
                  <c:v>270</c:v>
                </c:pt>
              </c:numCache>
            </c:numRef>
          </c:cat>
          <c:val>
            <c:numRef>
              <c:f>'[2]Calcs'!$AI$6:$AI$76</c:f>
              <c:numCache>
                <c:ptCount val="71"/>
                <c:pt idx="0">
                  <c:v>137</c:v>
                </c:pt>
                <c:pt idx="1">
                  <c:v>294</c:v>
                </c:pt>
                <c:pt idx="2">
                  <c:v>227</c:v>
                </c:pt>
                <c:pt idx="3">
                  <c:v>120</c:v>
                </c:pt>
                <c:pt idx="4">
                  <c:v>106</c:v>
                </c:pt>
                <c:pt idx="5">
                  <c:v>92</c:v>
                </c:pt>
                <c:pt idx="6">
                  <c:v>85</c:v>
                </c:pt>
                <c:pt idx="7">
                  <c:v>100</c:v>
                </c:pt>
                <c:pt idx="8">
                  <c:v>38</c:v>
                </c:pt>
                <c:pt idx="9">
                  <c:v>45</c:v>
                </c:pt>
                <c:pt idx="10">
                  <c:v>81</c:v>
                </c:pt>
                <c:pt idx="11">
                  <c:v>16</c:v>
                </c:pt>
                <c:pt idx="12">
                  <c:v>48</c:v>
                </c:pt>
                <c:pt idx="13">
                  <c:v>12</c:v>
                </c:pt>
                <c:pt idx="14">
                  <c:v>12</c:v>
                </c:pt>
                <c:pt idx="15">
                  <c:v>31</c:v>
                </c:pt>
                <c:pt idx="16">
                  <c:v>14</c:v>
                </c:pt>
                <c:pt idx="17">
                  <c:v>23</c:v>
                </c:pt>
                <c:pt idx="18">
                  <c:v>9</c:v>
                </c:pt>
                <c:pt idx="19">
                  <c:v>5</c:v>
                </c:pt>
                <c:pt idx="20">
                  <c:v>29</c:v>
                </c:pt>
                <c:pt idx="21">
                  <c:v>9</c:v>
                </c:pt>
                <c:pt idx="22">
                  <c:v>17</c:v>
                </c:pt>
                <c:pt idx="23">
                  <c:v>6</c:v>
                </c:pt>
                <c:pt idx="24">
                  <c:v>5</c:v>
                </c:pt>
                <c:pt idx="25">
                  <c:v>20</c:v>
                </c:pt>
                <c:pt idx="26">
                  <c:v>1</c:v>
                </c:pt>
                <c:pt idx="27">
                  <c:v>8</c:v>
                </c:pt>
                <c:pt idx="28">
                  <c:v>3</c:v>
                </c:pt>
                <c:pt idx="29">
                  <c:v>3</c:v>
                </c:pt>
                <c:pt idx="30">
                  <c:v>17</c:v>
                </c:pt>
                <c:pt idx="31">
                  <c:v>6</c:v>
                </c:pt>
                <c:pt idx="32">
                  <c:v>7</c:v>
                </c:pt>
                <c:pt idx="33">
                  <c:v>1</c:v>
                </c:pt>
                <c:pt idx="34">
                  <c:v>1</c:v>
                </c:pt>
                <c:pt idx="35">
                  <c:v>10</c:v>
                </c:pt>
                <c:pt idx="36">
                  <c:v>1</c:v>
                </c:pt>
                <c:pt idx="37">
                  <c:v>10</c:v>
                </c:pt>
                <c:pt idx="38">
                  <c:v>2</c:v>
                </c:pt>
                <c:pt idx="39">
                  <c:v>4</c:v>
                </c:pt>
                <c:pt idx="40">
                  <c:v>7</c:v>
                </c:pt>
                <c:pt idx="41">
                  <c:v>1</c:v>
                </c:pt>
                <c:pt idx="42">
                  <c:v>7</c:v>
                </c:pt>
                <c:pt idx="43">
                  <c:v>1</c:v>
                </c:pt>
                <c:pt idx="44">
                  <c:v>1</c:v>
                </c:pt>
                <c:pt idx="45">
                  <c:v>7</c:v>
                </c:pt>
                <c:pt idx="46">
                  <c:v>4</c:v>
                </c:pt>
                <c:pt idx="47">
                  <c:v>5</c:v>
                </c:pt>
                <c:pt idx="48">
                  <c:v>1</c:v>
                </c:pt>
                <c:pt idx="49">
                  <c:v>4</c:v>
                </c:pt>
                <c:pt idx="50">
                  <c:v>17</c:v>
                </c:pt>
                <c:pt idx="51">
                  <c:v>1</c:v>
                </c:pt>
                <c:pt idx="52">
                  <c:v>4</c:v>
                </c:pt>
                <c:pt idx="53">
                  <c:v>2</c:v>
                </c:pt>
                <c:pt idx="54">
                  <c:v>2</c:v>
                </c:pt>
                <c:pt idx="55">
                  <c:v>7</c:v>
                </c:pt>
                <c:pt idx="56">
                  <c:v>16</c:v>
                </c:pt>
                <c:pt idx="57">
                  <c:v>6</c:v>
                </c:pt>
                <c:pt idx="58">
                  <c:v>4</c:v>
                </c:pt>
                <c:pt idx="59">
                  <c:v>10</c:v>
                </c:pt>
                <c:pt idx="60">
                  <c:v>5</c:v>
                </c:pt>
                <c:pt idx="61">
                  <c:v>2</c:v>
                </c:pt>
                <c:pt idx="62">
                  <c:v>4</c:v>
                </c:pt>
                <c:pt idx="63">
                  <c:v>1</c:v>
                </c:pt>
                <c:pt idx="64">
                  <c:v>19</c:v>
                </c:pt>
                <c:pt idx="65">
                  <c:v>3</c:v>
                </c:pt>
                <c:pt idx="66">
                  <c:v>3</c:v>
                </c:pt>
                <c:pt idx="67">
                  <c:v>4</c:v>
                </c:pt>
                <c:pt idx="68">
                  <c:v>1</c:v>
                </c:pt>
                <c:pt idx="69">
                  <c:v>2</c:v>
                </c:pt>
                <c:pt idx="70">
                  <c:v>2</c:v>
                </c:pt>
              </c:numCache>
            </c:numRef>
          </c:val>
        </c:ser>
        <c:axId val="27450836"/>
        <c:axId val="45730933"/>
      </c:barChart>
      <c:catAx>
        <c:axId val="27450836"/>
        <c:scaling>
          <c:orientation val="minMax"/>
        </c:scaling>
        <c:axPos val="b"/>
        <c:title>
          <c:tx>
            <c:rich>
              <a:bodyPr vert="horz" rot="0" anchor="ctr"/>
              <a:lstStyle/>
              <a:p>
                <a:pPr algn="ctr">
                  <a:defRPr/>
                </a:pPr>
                <a:r>
                  <a:rPr lang="en-US" cap="none" sz="1200" b="1" i="0" u="none" baseline="0">
                    <a:latin typeface="Arial"/>
                    <a:ea typeface="Arial"/>
                    <a:cs typeface="Arial"/>
                  </a:rPr>
                  <a:t>Reported Number of Employees</a:t>
                </a:r>
              </a:p>
            </c:rich>
          </c:tx>
          <c:layout/>
          <c:overlay val="0"/>
          <c:spPr>
            <a:noFill/>
            <a:ln>
              <a:noFill/>
            </a:ln>
          </c:spPr>
        </c:title>
        <c:delete val="0"/>
        <c:numFmt formatCode="General" sourceLinked="1"/>
        <c:majorTickMark val="out"/>
        <c:minorTickMark val="none"/>
        <c:tickLblPos val="nextTo"/>
        <c:crossAx val="45730933"/>
        <c:crosses val="autoZero"/>
        <c:auto val="1"/>
        <c:lblOffset val="100"/>
        <c:noMultiLvlLbl val="0"/>
      </c:catAx>
      <c:valAx>
        <c:axId val="45730933"/>
        <c:scaling>
          <c:orientation val="minMax"/>
        </c:scaling>
        <c:axPos val="l"/>
        <c:title>
          <c:tx>
            <c:rich>
              <a:bodyPr vert="horz" rot="-5400000" anchor="ctr"/>
              <a:lstStyle/>
              <a:p>
                <a:pPr algn="ctr">
                  <a:defRPr/>
                </a:pPr>
                <a:r>
                  <a:rPr lang="en-US" cap="none" sz="1200" b="1" i="0" u="none" baseline="0">
                    <a:latin typeface="Arial"/>
                    <a:ea typeface="Arial"/>
                    <a:cs typeface="Arial"/>
                  </a:rPr>
                  <a:t>Number of Facilities</a:t>
                </a:r>
              </a:p>
            </c:rich>
          </c:tx>
          <c:layout/>
          <c:overlay val="0"/>
          <c:spPr>
            <a:noFill/>
            <a:ln>
              <a:noFill/>
            </a:ln>
          </c:spPr>
        </c:title>
        <c:majorGridlines/>
        <c:delete val="0"/>
        <c:numFmt formatCode="General" sourceLinked="1"/>
        <c:majorTickMark val="out"/>
        <c:minorTickMark val="none"/>
        <c:tickLblPos val="nextTo"/>
        <c:crossAx val="2745083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6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2"/>
  </sheetViews>
  <pageMargins left="0.75" right="0.75" top="1" bottom="1" header="0.5" footer="0.5"/>
  <pageSetup horizontalDpi="600" verticalDpi="600" orientation="landscape"/>
  <headerFooter>
    <oddFooter>&amp;LSource: DHS Wholesale Food Facility Database (all)&amp;R&amp;D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tuser\LOCALS~1\Temp\Fleet%20size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hstes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s>
    <sheetDataSet>
      <sheetData sheetId="1">
        <row r="3">
          <cell r="C3" t="str">
            <v>1 to 5</v>
          </cell>
          <cell r="D3" t="str">
            <v>6 to 10</v>
          </cell>
          <cell r="E3" t="str">
            <v>11 to 15</v>
          </cell>
          <cell r="F3" t="str">
            <v>16 to 20</v>
          </cell>
          <cell r="G3" t="str">
            <v>21 to 25</v>
          </cell>
          <cell r="H3" t="str">
            <v>26 to 30</v>
          </cell>
          <cell r="I3" t="str">
            <v>31 to 35</v>
          </cell>
          <cell r="J3" t="str">
            <v>36 to 40</v>
          </cell>
          <cell r="K3" t="str">
            <v>41 to 45</v>
          </cell>
          <cell r="L3" t="str">
            <v>46 to 50</v>
          </cell>
          <cell r="M3" t="str">
            <v>51 to 75</v>
          </cell>
          <cell r="N3" t="str">
            <v>76 to 100</v>
          </cell>
          <cell r="O3" t="str">
            <v>&gt;100</v>
          </cell>
        </row>
        <row r="4">
          <cell r="C4">
            <v>752</v>
          </cell>
          <cell r="D4">
            <v>196</v>
          </cell>
          <cell r="E4">
            <v>92</v>
          </cell>
          <cell r="F4">
            <v>44</v>
          </cell>
          <cell r="G4">
            <v>49</v>
          </cell>
          <cell r="H4">
            <v>24</v>
          </cell>
          <cell r="I4">
            <v>30</v>
          </cell>
          <cell r="J4">
            <v>14</v>
          </cell>
          <cell r="K4">
            <v>20</v>
          </cell>
          <cell r="L4">
            <v>9</v>
          </cell>
          <cell r="M4">
            <v>37</v>
          </cell>
          <cell r="N4">
            <v>18</v>
          </cell>
          <cell r="O4">
            <v>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pl. vs. Facilities 2"/>
      <sheetName val="Empl. vs. Facilities 1"/>
      <sheetName val="Empl. vs. Facilities 3"/>
      <sheetName val="Empl. vs. Facilities 4"/>
      <sheetName val="Empl. vs. Facilities 5"/>
      <sheetName val="Empl. vs. Facilities 6"/>
      <sheetName val="Size vs. Quantity A"/>
      <sheetName val="Size vs. Quantity B"/>
      <sheetName val="Size vs. Quantity C"/>
      <sheetName val="Size vs. Quantity D"/>
      <sheetName val="Calcs"/>
    </sheetNames>
    <sheetDataSet>
      <sheetData sheetId="10">
        <row r="6">
          <cell r="AH6">
            <v>2</v>
          </cell>
          <cell r="AI6">
            <v>137</v>
          </cell>
        </row>
        <row r="7">
          <cell r="AH7">
            <v>4</v>
          </cell>
          <cell r="AI7">
            <v>294</v>
          </cell>
        </row>
        <row r="8">
          <cell r="AH8">
            <v>6</v>
          </cell>
          <cell r="AI8">
            <v>227</v>
          </cell>
        </row>
        <row r="9">
          <cell r="AH9">
            <v>8</v>
          </cell>
          <cell r="AI9">
            <v>120</v>
          </cell>
        </row>
        <row r="10">
          <cell r="AH10">
            <v>10</v>
          </cell>
          <cell r="AI10">
            <v>106</v>
          </cell>
        </row>
        <row r="11">
          <cell r="AH11">
            <v>12</v>
          </cell>
          <cell r="AI11">
            <v>92</v>
          </cell>
        </row>
        <row r="12">
          <cell r="AH12">
            <v>14</v>
          </cell>
          <cell r="AI12">
            <v>85</v>
          </cell>
        </row>
        <row r="13">
          <cell r="AH13">
            <v>16</v>
          </cell>
          <cell r="AI13">
            <v>100</v>
          </cell>
        </row>
        <row r="14">
          <cell r="AH14">
            <v>18</v>
          </cell>
          <cell r="AI14">
            <v>38</v>
          </cell>
        </row>
        <row r="15">
          <cell r="AH15">
            <v>20</v>
          </cell>
          <cell r="AI15">
            <v>45</v>
          </cell>
        </row>
        <row r="16">
          <cell r="AH16">
            <v>22</v>
          </cell>
          <cell r="AI16">
            <v>81</v>
          </cell>
        </row>
        <row r="17">
          <cell r="AH17">
            <v>24</v>
          </cell>
          <cell r="AI17">
            <v>16</v>
          </cell>
        </row>
        <row r="18">
          <cell r="AH18">
            <v>26</v>
          </cell>
          <cell r="AI18">
            <v>48</v>
          </cell>
        </row>
        <row r="19">
          <cell r="AH19">
            <v>28</v>
          </cell>
          <cell r="AI19">
            <v>12</v>
          </cell>
        </row>
        <row r="20">
          <cell r="AH20">
            <v>30</v>
          </cell>
          <cell r="AI20">
            <v>12</v>
          </cell>
        </row>
        <row r="21">
          <cell r="AH21">
            <v>32</v>
          </cell>
          <cell r="AI21">
            <v>31</v>
          </cell>
        </row>
        <row r="22">
          <cell r="AH22">
            <v>34</v>
          </cell>
          <cell r="AI22">
            <v>14</v>
          </cell>
        </row>
        <row r="23">
          <cell r="AH23">
            <v>36</v>
          </cell>
          <cell r="AI23">
            <v>23</v>
          </cell>
        </row>
        <row r="24">
          <cell r="AH24">
            <v>38</v>
          </cell>
          <cell r="AI24">
            <v>9</v>
          </cell>
        </row>
        <row r="25">
          <cell r="AH25">
            <v>40</v>
          </cell>
          <cell r="AI25">
            <v>5</v>
          </cell>
        </row>
        <row r="26">
          <cell r="AH26">
            <v>42</v>
          </cell>
          <cell r="AI26">
            <v>29</v>
          </cell>
        </row>
        <row r="27">
          <cell r="AH27">
            <v>44</v>
          </cell>
          <cell r="AI27">
            <v>9</v>
          </cell>
        </row>
        <row r="28">
          <cell r="AH28">
            <v>46</v>
          </cell>
          <cell r="AI28">
            <v>17</v>
          </cell>
        </row>
        <row r="29">
          <cell r="AH29">
            <v>48</v>
          </cell>
          <cell r="AI29">
            <v>6</v>
          </cell>
        </row>
        <row r="30">
          <cell r="AH30">
            <v>50</v>
          </cell>
          <cell r="AI30">
            <v>5</v>
          </cell>
        </row>
        <row r="31">
          <cell r="AH31">
            <v>52</v>
          </cell>
          <cell r="AI31">
            <v>20</v>
          </cell>
        </row>
        <row r="32">
          <cell r="AH32">
            <v>54</v>
          </cell>
          <cell r="AI32">
            <v>1</v>
          </cell>
        </row>
        <row r="33">
          <cell r="AH33">
            <v>56</v>
          </cell>
          <cell r="AI33">
            <v>8</v>
          </cell>
        </row>
        <row r="34">
          <cell r="AH34">
            <v>58</v>
          </cell>
          <cell r="AI34">
            <v>3</v>
          </cell>
        </row>
        <row r="35">
          <cell r="AH35">
            <v>60</v>
          </cell>
          <cell r="AI35">
            <v>3</v>
          </cell>
        </row>
        <row r="36">
          <cell r="AH36">
            <v>62</v>
          </cell>
          <cell r="AI36">
            <v>17</v>
          </cell>
        </row>
        <row r="37">
          <cell r="AH37">
            <v>64</v>
          </cell>
          <cell r="AI37">
            <v>6</v>
          </cell>
        </row>
        <row r="38">
          <cell r="AH38">
            <v>66</v>
          </cell>
          <cell r="AI38">
            <v>7</v>
          </cell>
        </row>
        <row r="39">
          <cell r="AH39">
            <v>68</v>
          </cell>
          <cell r="AI39">
            <v>1</v>
          </cell>
        </row>
        <row r="40">
          <cell r="AH40">
            <v>70</v>
          </cell>
          <cell r="AI40">
            <v>1</v>
          </cell>
        </row>
        <row r="41">
          <cell r="AH41">
            <v>72</v>
          </cell>
          <cell r="AI41">
            <v>10</v>
          </cell>
        </row>
        <row r="42">
          <cell r="AH42">
            <v>74</v>
          </cell>
          <cell r="AI42">
            <v>1</v>
          </cell>
        </row>
        <row r="43">
          <cell r="AH43">
            <v>76</v>
          </cell>
          <cell r="AI43">
            <v>10</v>
          </cell>
        </row>
        <row r="44">
          <cell r="AH44">
            <v>78</v>
          </cell>
          <cell r="AI44">
            <v>2</v>
          </cell>
        </row>
        <row r="45">
          <cell r="AH45">
            <v>80</v>
          </cell>
          <cell r="AI45">
            <v>4</v>
          </cell>
        </row>
        <row r="46">
          <cell r="AH46">
            <v>82</v>
          </cell>
          <cell r="AI46">
            <v>7</v>
          </cell>
        </row>
        <row r="47">
          <cell r="AH47">
            <v>84</v>
          </cell>
          <cell r="AI47">
            <v>1</v>
          </cell>
        </row>
        <row r="48">
          <cell r="AH48">
            <v>86</v>
          </cell>
          <cell r="AI48">
            <v>7</v>
          </cell>
        </row>
        <row r="49">
          <cell r="AH49">
            <v>88</v>
          </cell>
          <cell r="AI49">
            <v>1</v>
          </cell>
        </row>
        <row r="50">
          <cell r="AH50">
            <v>90</v>
          </cell>
          <cell r="AI50">
            <v>1</v>
          </cell>
        </row>
        <row r="51">
          <cell r="AH51">
            <v>92</v>
          </cell>
          <cell r="AI51">
            <v>7</v>
          </cell>
        </row>
        <row r="52">
          <cell r="AH52">
            <v>94</v>
          </cell>
          <cell r="AI52">
            <v>4</v>
          </cell>
        </row>
        <row r="53">
          <cell r="AH53">
            <v>96</v>
          </cell>
          <cell r="AI53">
            <v>5</v>
          </cell>
        </row>
        <row r="54">
          <cell r="AH54">
            <v>98</v>
          </cell>
          <cell r="AI54">
            <v>1</v>
          </cell>
        </row>
        <row r="55">
          <cell r="AH55">
            <v>100</v>
          </cell>
          <cell r="AI55">
            <v>4</v>
          </cell>
        </row>
        <row r="56">
          <cell r="AH56">
            <v>102</v>
          </cell>
          <cell r="AI56">
            <v>17</v>
          </cell>
        </row>
        <row r="57">
          <cell r="AH57">
            <v>104</v>
          </cell>
          <cell r="AI57">
            <v>1</v>
          </cell>
        </row>
        <row r="58">
          <cell r="AH58">
            <v>106</v>
          </cell>
          <cell r="AI58">
            <v>4</v>
          </cell>
        </row>
        <row r="59">
          <cell r="AH59">
            <v>108</v>
          </cell>
          <cell r="AI59">
            <v>2</v>
          </cell>
        </row>
        <row r="60">
          <cell r="AH60">
            <v>110</v>
          </cell>
          <cell r="AI60">
            <v>2</v>
          </cell>
        </row>
        <row r="61">
          <cell r="AH61">
            <v>120</v>
          </cell>
          <cell r="AI61">
            <v>7</v>
          </cell>
        </row>
        <row r="62">
          <cell r="AH62">
            <v>130</v>
          </cell>
          <cell r="AI62">
            <v>16</v>
          </cell>
        </row>
        <row r="63">
          <cell r="AH63">
            <v>140</v>
          </cell>
          <cell r="AI63">
            <v>6</v>
          </cell>
        </row>
        <row r="64">
          <cell r="AH64">
            <v>150</v>
          </cell>
          <cell r="AI64">
            <v>4</v>
          </cell>
        </row>
        <row r="65">
          <cell r="AH65">
            <v>160</v>
          </cell>
          <cell r="AI65">
            <v>10</v>
          </cell>
        </row>
        <row r="66">
          <cell r="AH66">
            <v>170</v>
          </cell>
          <cell r="AI66">
            <v>5</v>
          </cell>
        </row>
        <row r="67">
          <cell r="AH67">
            <v>180</v>
          </cell>
          <cell r="AI67">
            <v>2</v>
          </cell>
        </row>
        <row r="68">
          <cell r="AH68">
            <v>190</v>
          </cell>
          <cell r="AI68">
            <v>4</v>
          </cell>
        </row>
        <row r="69">
          <cell r="AH69">
            <v>200</v>
          </cell>
          <cell r="AI69">
            <v>1</v>
          </cell>
        </row>
        <row r="70">
          <cell r="AH70">
            <v>210</v>
          </cell>
          <cell r="AI70">
            <v>19</v>
          </cell>
        </row>
        <row r="71">
          <cell r="AH71">
            <v>220</v>
          </cell>
          <cell r="AI71">
            <v>3</v>
          </cell>
        </row>
        <row r="72">
          <cell r="AH72">
            <v>230</v>
          </cell>
          <cell r="AI72">
            <v>3</v>
          </cell>
        </row>
        <row r="73">
          <cell r="AH73">
            <v>240</v>
          </cell>
          <cell r="AI73">
            <v>4</v>
          </cell>
        </row>
        <row r="74">
          <cell r="AH74">
            <v>250</v>
          </cell>
          <cell r="AI74">
            <v>1</v>
          </cell>
        </row>
        <row r="75">
          <cell r="AH75">
            <v>260</v>
          </cell>
          <cell r="AI75">
            <v>2</v>
          </cell>
        </row>
        <row r="76">
          <cell r="AH76">
            <v>270</v>
          </cell>
          <cell r="AI7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U167"/>
  <sheetViews>
    <sheetView zoomScale="75" zoomScaleNormal="75" workbookViewId="0" topLeftCell="E130">
      <selection activeCell="GP152" sqref="GP152"/>
    </sheetView>
  </sheetViews>
  <sheetFormatPr defaultColWidth="8.88671875" defaultRowHeight="15"/>
  <cols>
    <col min="1" max="1" width="7.4453125" style="0" customWidth="1"/>
    <col min="2" max="2" width="7.3359375" style="3" customWidth="1"/>
    <col min="3" max="3" width="7.4453125" style="0" customWidth="1"/>
    <col min="4" max="4" width="7.5546875" style="0" customWidth="1"/>
    <col min="5" max="5" width="7.99609375" style="0" customWidth="1"/>
    <col min="6" max="6" width="7.4453125" style="0" customWidth="1"/>
    <col min="7" max="7" width="7.6640625" style="0" customWidth="1"/>
    <col min="8" max="8" width="6.88671875" style="0" customWidth="1"/>
    <col min="9" max="10" width="7.21484375" style="0" customWidth="1"/>
    <col min="11" max="11" width="7.3359375" style="0" customWidth="1"/>
    <col min="12" max="12" width="8.6640625" style="0" customWidth="1"/>
    <col min="13" max="13" width="10.88671875" style="0" customWidth="1"/>
    <col min="14" max="14" width="10.5546875" style="0" customWidth="1"/>
    <col min="15" max="15" width="9.99609375" style="0" customWidth="1"/>
    <col min="16" max="16" width="10.10546875" style="0" customWidth="1"/>
    <col min="17" max="18" width="10.21484375" style="0" customWidth="1"/>
    <col min="19" max="19" width="10.3359375" style="0" customWidth="1"/>
    <col min="20" max="20" width="10.21484375" style="0" customWidth="1"/>
    <col min="21" max="22" width="10.10546875" style="0" customWidth="1"/>
    <col min="23" max="23" width="10.5546875" style="0" customWidth="1"/>
    <col min="24" max="24" width="10.88671875" style="0" customWidth="1"/>
    <col min="25" max="25" width="11.10546875" style="0" customWidth="1"/>
    <col min="26" max="26" width="10.77734375" style="0" customWidth="1"/>
    <col min="27" max="38" width="9.77734375" style="0" customWidth="1"/>
    <col min="39" max="39" width="12.4453125" style="0" customWidth="1"/>
    <col min="40" max="40" width="10.88671875" style="0" customWidth="1"/>
    <col min="41" max="41" width="11.21484375" style="0" customWidth="1"/>
    <col min="42" max="43" width="10.88671875" style="0" customWidth="1"/>
    <col min="44" max="44" width="11.5546875" style="0" customWidth="1"/>
    <col min="45" max="45" width="10.5546875" style="0" customWidth="1"/>
    <col min="46" max="46" width="10.10546875" style="0" customWidth="1"/>
    <col min="47" max="47" width="10.21484375" style="0" customWidth="1"/>
    <col min="48" max="50" width="10.10546875" style="0" customWidth="1"/>
    <col min="51" max="51" width="9.77734375" style="0" customWidth="1"/>
    <col min="52" max="52" width="11.77734375" style="0" customWidth="1"/>
    <col min="53" max="53" width="10.21484375" style="0" customWidth="1"/>
    <col min="54" max="63" width="9.88671875" style="0" customWidth="1"/>
    <col min="64" max="64" width="9.77734375" style="0" customWidth="1"/>
    <col min="65" max="65" width="10.21484375" style="0" customWidth="1"/>
    <col min="66" max="73" width="9.77734375" style="0" customWidth="1"/>
    <col min="74" max="74" width="10.10546875" style="0" customWidth="1"/>
    <col min="75" max="76" width="9.88671875" style="0" customWidth="1"/>
    <col min="77" max="77" width="9.77734375" style="0" customWidth="1"/>
    <col min="78" max="79" width="8.99609375" style="0" customWidth="1"/>
    <col min="80" max="80" width="9.3359375" style="0" customWidth="1"/>
    <col min="81" max="90" width="9.77734375" style="0" customWidth="1"/>
    <col min="91" max="91" width="10.21484375" style="0" customWidth="1"/>
    <col min="92" max="103" width="9.77734375" style="0" customWidth="1"/>
    <col min="104" max="104" width="11.99609375" style="0" customWidth="1"/>
    <col min="105" max="105" width="12.21484375" style="0" customWidth="1"/>
    <col min="106" max="106" width="6.77734375" style="0" customWidth="1"/>
    <col min="107" max="107" width="10.99609375" style="0" customWidth="1"/>
    <col min="108" max="108" width="9.88671875" style="0" customWidth="1"/>
    <col min="109" max="109" width="9.99609375" style="0" customWidth="1"/>
    <col min="110" max="115" width="9.88671875" style="0" customWidth="1"/>
    <col min="116" max="116" width="9.99609375" style="0" customWidth="1"/>
    <col min="117" max="119" width="9.88671875" style="0" customWidth="1"/>
    <col min="120" max="120" width="10.21484375" style="0" customWidth="1"/>
    <col min="121" max="130" width="9.77734375" style="0" customWidth="1"/>
    <col min="131" max="132" width="9.88671875" style="0" customWidth="1"/>
    <col min="133" max="133" width="10.88671875" style="0" customWidth="1"/>
    <col min="134" max="134" width="10.10546875" style="0" customWidth="1"/>
    <col min="135" max="136" width="9.88671875" style="0" customWidth="1"/>
    <col min="137" max="137" width="11.10546875" style="0" customWidth="1"/>
    <col min="138" max="138" width="10.88671875" style="0" customWidth="1"/>
    <col min="139" max="139" width="10.99609375" style="0" customWidth="1"/>
    <col min="140" max="141" width="11.3359375" style="0" customWidth="1"/>
    <col min="142" max="142" width="10.99609375" style="0" customWidth="1"/>
    <col min="143" max="143" width="11.10546875" style="0" customWidth="1"/>
    <col min="144" max="144" width="10.99609375" style="0" customWidth="1"/>
    <col min="145" max="145" width="9.77734375" style="0" customWidth="1"/>
    <col min="146" max="146" width="10.88671875" style="0" customWidth="1"/>
    <col min="147" max="150" width="9.88671875" style="0" customWidth="1"/>
    <col min="151" max="152" width="10.10546875" style="0" customWidth="1"/>
    <col min="153" max="153" width="9.88671875" style="0" customWidth="1"/>
    <col min="154" max="154" width="10.10546875" style="0" customWidth="1"/>
    <col min="155" max="155" width="9.88671875" style="0" customWidth="1"/>
    <col min="156" max="156" width="10.10546875" style="0" customWidth="1"/>
    <col min="157" max="157" width="9.99609375" style="0" customWidth="1"/>
    <col min="158" max="158" width="9.5546875" style="0" customWidth="1"/>
    <col min="159" max="159" width="10.5546875" style="0" customWidth="1"/>
    <col min="160" max="172" width="9.77734375" style="0" customWidth="1"/>
    <col min="173" max="184" width="8.77734375" style="0" customWidth="1"/>
    <col min="185" max="185" width="9.99609375" style="0" customWidth="1"/>
    <col min="186" max="194" width="8.77734375" style="0" customWidth="1"/>
    <col min="195" max="195" width="9.88671875" style="0" customWidth="1"/>
    <col min="196" max="196" width="9.99609375" style="0" customWidth="1"/>
    <col min="197" max="197" width="8.77734375" style="0" customWidth="1"/>
    <col min="198" max="198" width="12.21484375" style="0" customWidth="1"/>
    <col min="199" max="199" width="13.4453125" style="0" customWidth="1"/>
    <col min="200" max="200" width="12.3359375" style="0" customWidth="1"/>
    <col min="201" max="201" width="13.6640625" style="0" customWidth="1"/>
    <col min="202" max="202" width="13.10546875" style="0" customWidth="1"/>
  </cols>
  <sheetData>
    <row r="1" spans="1:202" ht="20.25">
      <c r="A1" s="58" t="s">
        <v>69</v>
      </c>
      <c r="B1" s="59"/>
      <c r="C1" s="60"/>
      <c r="D1" s="60"/>
      <c r="E1" s="16"/>
      <c r="F1" s="16"/>
      <c r="G1" s="9"/>
      <c r="H1" s="9"/>
      <c r="I1" s="34" t="s">
        <v>117</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row>
    <row r="2" spans="1:202" ht="16.5" customHeight="1">
      <c r="A2" s="58"/>
      <c r="B2" s="59"/>
      <c r="C2" s="60"/>
      <c r="D2" s="60"/>
      <c r="E2" s="16"/>
      <c r="F2" s="16"/>
      <c r="G2" s="9"/>
      <c r="H2" s="9"/>
      <c r="I2" s="34"/>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row>
    <row r="3" spans="1:202" ht="16.5" customHeight="1">
      <c r="A3" s="67" t="s">
        <v>80</v>
      </c>
      <c r="B3" s="59"/>
      <c r="C3" s="60"/>
      <c r="D3" s="60"/>
      <c r="E3" s="16"/>
      <c r="F3" s="16"/>
      <c r="G3" s="9"/>
      <c r="H3" s="9"/>
      <c r="I3" s="34"/>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row>
    <row r="4" spans="1:202" ht="16.5" customHeight="1">
      <c r="A4" s="67" t="s">
        <v>81</v>
      </c>
      <c r="B4" s="59"/>
      <c r="C4" s="60"/>
      <c r="D4" s="60"/>
      <c r="E4" s="16"/>
      <c r="F4" s="16"/>
      <c r="G4" s="9"/>
      <c r="H4" s="9"/>
      <c r="I4" s="34"/>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row>
    <row r="5" spans="1:202" ht="15.75" customHeight="1">
      <c r="A5" s="67" t="s">
        <v>79</v>
      </c>
      <c r="B5" s="59"/>
      <c r="C5" s="60"/>
      <c r="D5" s="60"/>
      <c r="E5" s="16"/>
      <c r="F5" s="16"/>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row>
    <row r="6" spans="1:202" ht="15.75" customHeight="1">
      <c r="A6" s="67" t="s">
        <v>94</v>
      </c>
      <c r="B6" s="59"/>
      <c r="C6" s="60"/>
      <c r="D6" s="60"/>
      <c r="E6" s="16"/>
      <c r="F6" s="16"/>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row>
    <row r="7" spans="1:202" ht="15.75" customHeight="1">
      <c r="A7" s="67"/>
      <c r="B7" s="59"/>
      <c r="C7" s="60"/>
      <c r="D7" s="60"/>
      <c r="E7" s="16"/>
      <c r="F7" s="16"/>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row>
    <row r="8" spans="1:202" ht="15.75" customHeight="1">
      <c r="A8" s="67"/>
      <c r="B8" s="59"/>
      <c r="C8" s="60"/>
      <c r="D8" s="60"/>
      <c r="E8" s="16"/>
      <c r="F8" s="16"/>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row>
    <row r="9" spans="1:202" ht="15.75" customHeight="1">
      <c r="A9" s="58"/>
      <c r="B9" s="59"/>
      <c r="C9" s="16" t="s">
        <v>63</v>
      </c>
      <c r="D9" s="9"/>
      <c r="E9" s="9"/>
      <c r="F9" s="9"/>
      <c r="G9" s="9"/>
      <c r="H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row>
    <row r="10" spans="1:202" ht="16.5" customHeight="1">
      <c r="A10" s="67"/>
      <c r="B10" s="57"/>
      <c r="C10" s="9" t="s">
        <v>58</v>
      </c>
      <c r="E10" s="9">
        <v>0.05</v>
      </c>
      <c r="F10" s="9" t="s">
        <v>116</v>
      </c>
      <c r="G10" s="9"/>
      <c r="H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row>
    <row r="11" spans="2:202" ht="15.75" customHeight="1">
      <c r="B11" s="68"/>
      <c r="C11" s="9" t="s">
        <v>59</v>
      </c>
      <c r="D11" s="9"/>
      <c r="E11" s="9">
        <v>0.05</v>
      </c>
      <c r="F11" s="9" t="s">
        <v>116</v>
      </c>
      <c r="G11" s="9"/>
      <c r="H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row>
    <row r="12" spans="2:202" ht="15.75" customHeight="1">
      <c r="B12" s="68"/>
      <c r="C12" s="9"/>
      <c r="D12" s="9"/>
      <c r="E12" s="9"/>
      <c r="F12" s="9"/>
      <c r="G12" s="9"/>
      <c r="H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row>
    <row r="13" spans="1:202" ht="15.75" customHeight="1">
      <c r="A13" s="67"/>
      <c r="B13" s="68" t="s">
        <v>65</v>
      </c>
      <c r="C13" s="9"/>
      <c r="D13" s="9" t="s">
        <v>66</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row>
    <row r="14" spans="1:202" ht="15.75" customHeight="1">
      <c r="A14" s="67"/>
      <c r="B14" s="6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row>
    <row r="15" spans="1:202" ht="15.75" customHeight="1">
      <c r="A15" s="67"/>
      <c r="B15" s="68"/>
      <c r="C15" s="9"/>
      <c r="D15" s="9"/>
      <c r="E15" s="9"/>
      <c r="F15" s="9"/>
      <c r="G15" s="9"/>
      <c r="H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row>
    <row r="16" spans="1:202" ht="19.5" customHeight="1">
      <c r="A16" s="94" t="s">
        <v>55</v>
      </c>
      <c r="B16" s="65"/>
      <c r="C16" s="7"/>
      <c r="D16" s="7"/>
      <c r="E16" s="7"/>
      <c r="F16" s="7"/>
      <c r="G16" s="7"/>
      <c r="H16" s="7"/>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row>
    <row r="17" spans="2:202" ht="15.75" customHeight="1">
      <c r="B17" s="6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row>
    <row r="18" spans="1:202" ht="15.75" customHeight="1">
      <c r="A18" s="16" t="s">
        <v>60</v>
      </c>
      <c r="B18" s="15"/>
      <c r="C18" s="16"/>
      <c r="D18" s="16"/>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row>
    <row r="19" spans="6:202" ht="15.75" customHeight="1">
      <c r="F19" s="15" t="s">
        <v>61</v>
      </c>
      <c r="H19" s="15" t="s">
        <v>70</v>
      </c>
      <c r="I19" s="9"/>
      <c r="J19" s="16" t="s">
        <v>71</v>
      </c>
      <c r="K19" s="16"/>
      <c r="L19" s="16"/>
      <c r="M19" s="15" t="s">
        <v>52</v>
      </c>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row>
    <row r="20" spans="1:202" ht="15.75" customHeight="1">
      <c r="A20" s="9" t="s">
        <v>100</v>
      </c>
      <c r="F20" s="87">
        <v>2050</v>
      </c>
      <c r="H20" s="89">
        <v>107</v>
      </c>
      <c r="I20" s="9"/>
      <c r="J20" s="9"/>
      <c r="K20" s="90">
        <v>97</v>
      </c>
      <c r="L20" s="9"/>
      <c r="M20" s="9" t="s">
        <v>99</v>
      </c>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row>
    <row r="21" spans="1:202" ht="15.75" customHeight="1">
      <c r="A21" s="9" t="s">
        <v>98</v>
      </c>
      <c r="B21" s="69"/>
      <c r="C21" s="70"/>
      <c r="F21" s="87">
        <v>2300</v>
      </c>
      <c r="H21" s="89">
        <v>0</v>
      </c>
      <c r="I21" s="9"/>
      <c r="J21" s="9"/>
      <c r="K21" s="90">
        <v>0</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row>
    <row r="22" spans="10:202" ht="15.75" customHeight="1">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row>
    <row r="23" spans="1:202" ht="20.25">
      <c r="A23" s="9"/>
      <c r="B23" s="68"/>
      <c r="C23" s="9"/>
      <c r="D23" s="8" t="s">
        <v>42</v>
      </c>
      <c r="E23" s="39"/>
      <c r="F23" s="9"/>
      <c r="G23" s="39"/>
      <c r="H23" s="9"/>
      <c r="I23" s="9"/>
      <c r="J23" s="63"/>
      <c r="K23" s="63"/>
      <c r="L23" s="63"/>
      <c r="M23" s="8" t="s">
        <v>62</v>
      </c>
      <c r="N23" s="9"/>
      <c r="O23" s="9"/>
      <c r="P23" s="9"/>
      <c r="Q23" s="9"/>
      <c r="R23" s="9"/>
      <c r="S23" s="9"/>
      <c r="T23" s="9"/>
      <c r="U23" s="9"/>
      <c r="V23" s="9"/>
      <c r="W23" s="9"/>
      <c r="X23" s="9"/>
      <c r="Y23" s="9"/>
      <c r="Z23" s="9"/>
      <c r="AA23" s="8" t="s">
        <v>44</v>
      </c>
      <c r="AB23" s="9"/>
      <c r="AC23" s="9"/>
      <c r="AD23" s="9"/>
      <c r="AE23" s="9"/>
      <c r="AF23" s="9"/>
      <c r="AG23" s="9"/>
      <c r="AH23" s="9"/>
      <c r="AI23" s="9"/>
      <c r="AJ23" s="9"/>
      <c r="AK23" s="9"/>
      <c r="AL23" s="9"/>
      <c r="AM23" s="9"/>
      <c r="AN23" s="8" t="s">
        <v>45</v>
      </c>
      <c r="AO23" s="9"/>
      <c r="AP23" s="9"/>
      <c r="AQ23" s="9"/>
      <c r="AR23" s="9"/>
      <c r="AS23" s="9"/>
      <c r="AT23" s="9"/>
      <c r="AU23" s="9"/>
      <c r="AV23" s="9"/>
      <c r="AW23" s="9"/>
      <c r="AX23" s="9"/>
      <c r="AY23" s="9"/>
      <c r="AZ23" s="9"/>
      <c r="BA23" s="8" t="s">
        <v>45</v>
      </c>
      <c r="BB23" s="9"/>
      <c r="BC23" s="9"/>
      <c r="BD23" s="9"/>
      <c r="BE23" s="9"/>
      <c r="BF23" s="9"/>
      <c r="BG23" s="9"/>
      <c r="BH23" s="9"/>
      <c r="BI23" s="9"/>
      <c r="BJ23" s="9"/>
      <c r="BK23" s="9"/>
      <c r="BL23" s="9"/>
      <c r="BM23" s="9"/>
      <c r="BN23" s="8" t="s">
        <v>44</v>
      </c>
      <c r="BO23" s="9"/>
      <c r="BP23" s="9"/>
      <c r="BQ23" s="9"/>
      <c r="BR23" s="9"/>
      <c r="BS23" s="9"/>
      <c r="BT23" s="9"/>
      <c r="BU23" s="9"/>
      <c r="BV23" s="9"/>
      <c r="BW23" s="9"/>
      <c r="BX23" s="9"/>
      <c r="BY23" s="9"/>
      <c r="BZ23" s="9"/>
      <c r="CA23" s="8" t="s">
        <v>44</v>
      </c>
      <c r="CB23" s="9"/>
      <c r="CC23" s="9"/>
      <c r="CD23" s="9"/>
      <c r="CE23" s="9"/>
      <c r="CF23" s="9"/>
      <c r="CG23" s="9"/>
      <c r="CH23" s="9"/>
      <c r="CI23" s="9"/>
      <c r="CJ23" s="9"/>
      <c r="CK23" s="9"/>
      <c r="CL23" s="9"/>
      <c r="CM23" s="9"/>
      <c r="CN23" s="8" t="s">
        <v>44</v>
      </c>
      <c r="CO23" s="9"/>
      <c r="CP23" s="9"/>
      <c r="CQ23" s="9"/>
      <c r="CR23" s="9"/>
      <c r="CS23" s="9"/>
      <c r="CT23" s="9"/>
      <c r="CU23" s="9"/>
      <c r="CV23" s="9"/>
      <c r="CW23" s="9"/>
      <c r="CX23" s="9"/>
      <c r="CY23" s="9"/>
      <c r="CZ23" s="8" t="s">
        <v>44</v>
      </c>
      <c r="DA23" s="9"/>
      <c r="DB23" s="9"/>
      <c r="DC23" s="8" t="s">
        <v>46</v>
      </c>
      <c r="DD23" s="8"/>
      <c r="DE23" s="9"/>
      <c r="DF23" s="9"/>
      <c r="DG23" s="9"/>
      <c r="DH23" s="9"/>
      <c r="DI23" s="9"/>
      <c r="DJ23" s="9"/>
      <c r="DK23" s="9"/>
      <c r="DL23" s="9"/>
      <c r="DM23" s="9"/>
      <c r="DN23" s="9"/>
      <c r="DO23" s="9"/>
      <c r="DP23" s="9"/>
      <c r="DQ23" s="8" t="s">
        <v>48</v>
      </c>
      <c r="DR23" s="9"/>
      <c r="DS23" s="9"/>
      <c r="DT23" s="9"/>
      <c r="DU23" s="9"/>
      <c r="DV23" s="9"/>
      <c r="DW23" s="9"/>
      <c r="DX23" s="9"/>
      <c r="DY23" s="9"/>
      <c r="DZ23" s="9"/>
      <c r="EA23" s="9"/>
      <c r="EB23" s="9"/>
      <c r="EC23" s="9"/>
      <c r="ED23" s="8" t="s">
        <v>47</v>
      </c>
      <c r="EE23" s="9"/>
      <c r="EF23" s="9"/>
      <c r="EG23" s="9"/>
      <c r="EH23" s="9"/>
      <c r="EI23" s="9"/>
      <c r="EJ23" s="9"/>
      <c r="EK23" s="9"/>
      <c r="EL23" s="9"/>
      <c r="EM23" s="9"/>
      <c r="EN23" s="9"/>
      <c r="EO23" s="9"/>
      <c r="EP23" s="9"/>
      <c r="EQ23" s="8" t="s">
        <v>47</v>
      </c>
      <c r="ER23" s="9"/>
      <c r="ES23" s="9"/>
      <c r="ET23" s="9"/>
      <c r="EU23" s="9"/>
      <c r="EV23" s="9"/>
      <c r="EW23" s="9"/>
      <c r="EX23" s="9"/>
      <c r="EY23" s="9"/>
      <c r="EZ23" s="9"/>
      <c r="FA23" s="9"/>
      <c r="FB23" s="9"/>
      <c r="FC23" s="9"/>
      <c r="FD23" s="8" t="s">
        <v>48</v>
      </c>
      <c r="FE23" s="9"/>
      <c r="FF23" s="9"/>
      <c r="FG23" s="9"/>
      <c r="FH23" s="9"/>
      <c r="FI23" s="9"/>
      <c r="FJ23" s="9"/>
      <c r="FK23" s="9"/>
      <c r="FL23" s="9"/>
      <c r="FM23" s="9"/>
      <c r="FN23" s="9"/>
      <c r="FO23" s="9"/>
      <c r="FP23" s="9"/>
      <c r="FQ23" s="8" t="s">
        <v>48</v>
      </c>
      <c r="FR23" s="9"/>
      <c r="FS23" s="9"/>
      <c r="FT23" s="9"/>
      <c r="FU23" s="9"/>
      <c r="FV23" s="9"/>
      <c r="FW23" s="9"/>
      <c r="FX23" s="9"/>
      <c r="FY23" s="9"/>
      <c r="FZ23" s="9"/>
      <c r="GA23" s="9"/>
      <c r="GB23" s="9"/>
      <c r="GC23" s="9"/>
      <c r="GD23" s="8" t="s">
        <v>48</v>
      </c>
      <c r="GE23" s="9"/>
      <c r="GF23" s="9"/>
      <c r="GG23" s="9"/>
      <c r="GH23" s="9"/>
      <c r="GI23" s="9"/>
      <c r="GJ23" s="9"/>
      <c r="GK23" s="9"/>
      <c r="GL23" s="9"/>
      <c r="GM23" s="9"/>
      <c r="GN23" s="9"/>
      <c r="GO23" s="9"/>
      <c r="GP23" s="8" t="s">
        <v>47</v>
      </c>
      <c r="GQ23" s="63"/>
      <c r="GR23" s="63"/>
      <c r="GS23" s="9"/>
      <c r="GT23" s="8" t="s">
        <v>2</v>
      </c>
    </row>
    <row r="24" spans="1:202" s="35" customFormat="1" ht="121.5" customHeight="1" thickBot="1">
      <c r="A24" s="42" t="s">
        <v>18</v>
      </c>
      <c r="B24" s="55" t="s">
        <v>19</v>
      </c>
      <c r="C24" s="42" t="s">
        <v>20</v>
      </c>
      <c r="D24" s="42" t="s">
        <v>0</v>
      </c>
      <c r="E24" s="42" t="s">
        <v>1</v>
      </c>
      <c r="F24" s="42" t="s">
        <v>29</v>
      </c>
      <c r="G24" s="42" t="s">
        <v>28</v>
      </c>
      <c r="H24" s="42" t="s">
        <v>30</v>
      </c>
      <c r="I24" s="42" t="s">
        <v>27</v>
      </c>
      <c r="J24" s="42" t="s">
        <v>26</v>
      </c>
      <c r="K24" s="56" t="s">
        <v>53</v>
      </c>
      <c r="L24" s="40" t="s">
        <v>22</v>
      </c>
      <c r="M24" s="50" t="s">
        <v>20</v>
      </c>
      <c r="N24" s="71"/>
      <c r="O24" s="71"/>
      <c r="P24" s="71"/>
      <c r="Q24" s="71"/>
      <c r="R24" s="71"/>
      <c r="S24" s="71"/>
      <c r="T24" s="71"/>
      <c r="U24" s="71"/>
      <c r="V24" s="71"/>
      <c r="W24" s="71"/>
      <c r="X24" s="71"/>
      <c r="Y24" s="72"/>
      <c r="Z24" s="48" t="s">
        <v>0</v>
      </c>
      <c r="AA24" s="73"/>
      <c r="AB24" s="73"/>
      <c r="AC24" s="73"/>
      <c r="AD24" s="73"/>
      <c r="AE24" s="73"/>
      <c r="AF24" s="73"/>
      <c r="AG24" s="73"/>
      <c r="AH24" s="73"/>
      <c r="AI24" s="73"/>
      <c r="AJ24" s="73"/>
      <c r="AK24" s="73"/>
      <c r="AL24" s="73"/>
      <c r="AM24" s="45" t="s">
        <v>31</v>
      </c>
      <c r="AN24" s="73"/>
      <c r="AO24" s="73"/>
      <c r="AP24" s="73"/>
      <c r="AQ24" s="73"/>
      <c r="AR24" s="73"/>
      <c r="AS24" s="73"/>
      <c r="AT24" s="73"/>
      <c r="AU24" s="73"/>
      <c r="AV24" s="73"/>
      <c r="AW24" s="73"/>
      <c r="AX24" s="73"/>
      <c r="AY24" s="73"/>
      <c r="AZ24" s="45" t="s">
        <v>32</v>
      </c>
      <c r="BA24" s="73"/>
      <c r="BB24" s="73"/>
      <c r="BC24" s="73"/>
      <c r="BD24" s="73"/>
      <c r="BE24" s="73"/>
      <c r="BF24" s="73"/>
      <c r="BG24" s="73"/>
      <c r="BH24" s="73"/>
      <c r="BI24" s="73"/>
      <c r="BJ24" s="73"/>
      <c r="BK24" s="73"/>
      <c r="BL24" s="74"/>
      <c r="BM24" s="48" t="s">
        <v>34</v>
      </c>
      <c r="BN24" s="73"/>
      <c r="BO24" s="73"/>
      <c r="BP24" s="73"/>
      <c r="BQ24" s="73"/>
      <c r="BR24" s="73"/>
      <c r="BS24" s="73"/>
      <c r="BT24" s="73"/>
      <c r="BU24" s="73"/>
      <c r="BV24" s="73"/>
      <c r="BW24" s="73"/>
      <c r="BX24" s="73"/>
      <c r="BY24" s="74"/>
      <c r="BZ24" s="45" t="s">
        <v>33</v>
      </c>
      <c r="CA24" s="73"/>
      <c r="CB24" s="73"/>
      <c r="CC24" s="73"/>
      <c r="CD24" s="73"/>
      <c r="CE24" s="73"/>
      <c r="CF24" s="73"/>
      <c r="CG24" s="73"/>
      <c r="CH24" s="73"/>
      <c r="CI24" s="73"/>
      <c r="CJ24" s="73"/>
      <c r="CK24" s="73"/>
      <c r="CL24" s="74"/>
      <c r="CM24" s="48" t="s">
        <v>35</v>
      </c>
      <c r="CN24" s="73"/>
      <c r="CO24" s="73"/>
      <c r="CP24" s="73"/>
      <c r="CQ24" s="73"/>
      <c r="CR24" s="73"/>
      <c r="CS24" s="73"/>
      <c r="CT24" s="73"/>
      <c r="CU24" s="73"/>
      <c r="CV24" s="73"/>
      <c r="CW24" s="73"/>
      <c r="CX24" s="73"/>
      <c r="CY24" s="74"/>
      <c r="CZ24" s="42" t="s">
        <v>23</v>
      </c>
      <c r="DA24" s="41" t="s">
        <v>49</v>
      </c>
      <c r="DB24" s="40" t="s">
        <v>25</v>
      </c>
      <c r="DC24" s="45" t="s">
        <v>20</v>
      </c>
      <c r="DD24" s="73"/>
      <c r="DE24" s="73"/>
      <c r="DF24" s="73"/>
      <c r="DG24" s="73"/>
      <c r="DH24" s="73"/>
      <c r="DI24" s="73"/>
      <c r="DJ24" s="73"/>
      <c r="DK24" s="73"/>
      <c r="DL24" s="73"/>
      <c r="DM24" s="73"/>
      <c r="DN24" s="73"/>
      <c r="DO24" s="74"/>
      <c r="DP24" s="45" t="s">
        <v>0</v>
      </c>
      <c r="DQ24" s="73"/>
      <c r="DR24" s="73"/>
      <c r="DS24" s="73"/>
      <c r="DT24" s="73"/>
      <c r="DU24" s="73"/>
      <c r="DV24" s="73"/>
      <c r="DW24" s="73"/>
      <c r="DX24" s="73"/>
      <c r="DY24" s="73"/>
      <c r="DZ24" s="73"/>
      <c r="EA24" s="73"/>
      <c r="EB24" s="74"/>
      <c r="EC24" s="45" t="s">
        <v>36</v>
      </c>
      <c r="ED24" s="73"/>
      <c r="EE24" s="73"/>
      <c r="EF24" s="73"/>
      <c r="EG24" s="73"/>
      <c r="EH24" s="73"/>
      <c r="EI24" s="73"/>
      <c r="EJ24" s="73"/>
      <c r="EK24" s="73"/>
      <c r="EL24" s="73"/>
      <c r="EM24" s="73"/>
      <c r="EN24" s="73"/>
      <c r="EO24" s="74"/>
      <c r="EP24" s="45" t="s">
        <v>24</v>
      </c>
      <c r="EQ24" s="43"/>
      <c r="ER24" s="43"/>
      <c r="ES24" s="43"/>
      <c r="ET24" s="43"/>
      <c r="EU24" s="43"/>
      <c r="EV24" s="43"/>
      <c r="EW24" s="43"/>
      <c r="EX24" s="43"/>
      <c r="EY24" s="43"/>
      <c r="EZ24" s="43"/>
      <c r="FA24" s="43"/>
      <c r="FB24" s="44"/>
      <c r="FC24" s="45" t="s">
        <v>37</v>
      </c>
      <c r="FD24" s="43"/>
      <c r="FE24" s="43"/>
      <c r="FF24" s="43"/>
      <c r="FG24" s="43"/>
      <c r="FH24" s="43"/>
      <c r="FI24" s="43"/>
      <c r="FJ24" s="43"/>
      <c r="FK24" s="43"/>
      <c r="FL24" s="43"/>
      <c r="FM24" s="43"/>
      <c r="FN24" s="43"/>
      <c r="FO24" s="74"/>
      <c r="FP24" s="45" t="s">
        <v>38</v>
      </c>
      <c r="FQ24" s="43"/>
      <c r="FR24" s="43"/>
      <c r="FS24" s="43"/>
      <c r="FT24" s="43"/>
      <c r="FU24" s="43"/>
      <c r="FV24" s="43"/>
      <c r="FW24" s="43"/>
      <c r="FX24" s="43"/>
      <c r="FY24" s="43"/>
      <c r="FZ24" s="43"/>
      <c r="GA24" s="73"/>
      <c r="GB24" s="74"/>
      <c r="GC24" s="48" t="s">
        <v>39</v>
      </c>
      <c r="GD24" s="43"/>
      <c r="GE24" s="43"/>
      <c r="GF24" s="43"/>
      <c r="GG24" s="43"/>
      <c r="GH24" s="43"/>
      <c r="GI24" s="43"/>
      <c r="GJ24" s="43"/>
      <c r="GK24" s="43"/>
      <c r="GL24" s="43"/>
      <c r="GM24" s="43"/>
      <c r="GN24" s="73"/>
      <c r="GO24" s="74"/>
      <c r="GP24" s="43" t="s">
        <v>77</v>
      </c>
      <c r="GQ24" s="41" t="s">
        <v>50</v>
      </c>
      <c r="GR24" s="41" t="s">
        <v>89</v>
      </c>
      <c r="GS24" s="92" t="s">
        <v>51</v>
      </c>
      <c r="GT24" s="75"/>
    </row>
    <row r="25" spans="1:202" ht="15.75" customHeight="1" thickTop="1">
      <c r="A25" s="9">
        <v>-2001</v>
      </c>
      <c r="B25" s="49">
        <v>2008</v>
      </c>
      <c r="C25" s="31">
        <v>2125</v>
      </c>
      <c r="D25" s="31">
        <v>880</v>
      </c>
      <c r="E25" s="31">
        <v>11162</v>
      </c>
      <c r="F25" s="31">
        <v>3721</v>
      </c>
      <c r="G25" s="31">
        <v>856</v>
      </c>
      <c r="H25" s="31">
        <v>285</v>
      </c>
      <c r="I25" s="31">
        <v>822</v>
      </c>
      <c r="J25" s="84">
        <f>SUM(E25:I25)</f>
        <v>16846</v>
      </c>
      <c r="K25" s="85">
        <f>SUM(C25:I25)</f>
        <v>19851</v>
      </c>
      <c r="L25" s="36">
        <f>F20*0.1295</f>
        <v>265.475</v>
      </c>
      <c r="M25" s="36">
        <f aca="true" t="shared" si="0" ref="M25:M34">$C$25*$L$25</f>
        <v>564134.375</v>
      </c>
      <c r="N25" s="36"/>
      <c r="O25" s="36"/>
      <c r="P25" s="36"/>
      <c r="Q25" s="36"/>
      <c r="R25" s="36"/>
      <c r="S25" s="36"/>
      <c r="T25" s="36"/>
      <c r="U25" s="36"/>
      <c r="V25" s="36"/>
      <c r="W25" s="36"/>
      <c r="X25" s="36"/>
      <c r="Y25" s="77"/>
      <c r="Z25" s="36">
        <f>$D$25*$L$25</f>
        <v>233618.00000000003</v>
      </c>
      <c r="AA25" s="36"/>
      <c r="AB25" s="36"/>
      <c r="AC25" s="36"/>
      <c r="AD25" s="36"/>
      <c r="AE25" s="36"/>
      <c r="AF25" s="36"/>
      <c r="AG25" s="36"/>
      <c r="AH25" s="36"/>
      <c r="AI25" s="36"/>
      <c r="AJ25" s="36"/>
      <c r="AK25" s="36"/>
      <c r="AL25" s="77"/>
      <c r="AM25" s="36">
        <f>$E$25*$L$25</f>
        <v>2963231.95</v>
      </c>
      <c r="AN25" s="36"/>
      <c r="AO25" s="36"/>
      <c r="AP25" s="36"/>
      <c r="AQ25" s="36"/>
      <c r="AR25" s="36"/>
      <c r="AS25" s="36"/>
      <c r="AT25" s="36"/>
      <c r="AU25" s="36"/>
      <c r="AV25" s="36"/>
      <c r="AW25" s="36"/>
      <c r="AX25" s="36"/>
      <c r="AY25" s="77"/>
      <c r="AZ25" s="36">
        <f>$F$25*$L$25</f>
        <v>987832.4750000001</v>
      </c>
      <c r="BA25" s="36"/>
      <c r="BB25" s="36"/>
      <c r="BC25" s="36"/>
      <c r="BD25" s="36"/>
      <c r="BE25" s="36"/>
      <c r="BF25" s="36"/>
      <c r="BG25" s="36"/>
      <c r="BH25" s="36"/>
      <c r="BI25" s="36"/>
      <c r="BJ25" s="36"/>
      <c r="BK25" s="36"/>
      <c r="BL25" s="77"/>
      <c r="BM25" s="36">
        <f>$G$25*$L$25</f>
        <v>227246.6</v>
      </c>
      <c r="BN25" s="36"/>
      <c r="BO25" s="36"/>
      <c r="BP25" s="36"/>
      <c r="BQ25" s="36"/>
      <c r="BR25" s="36"/>
      <c r="BS25" s="36"/>
      <c r="BT25" s="36"/>
      <c r="BU25" s="36"/>
      <c r="BV25" s="36"/>
      <c r="BW25" s="36"/>
      <c r="BX25" s="36"/>
      <c r="BY25" s="77"/>
      <c r="BZ25" s="36">
        <f>$H$25*$L$25</f>
        <v>75660.375</v>
      </c>
      <c r="CA25" s="36"/>
      <c r="CB25" s="36"/>
      <c r="CC25" s="36"/>
      <c r="CD25" s="36"/>
      <c r="CE25" s="36"/>
      <c r="CF25" s="36"/>
      <c r="CG25" s="36"/>
      <c r="CH25" s="36"/>
      <c r="CI25" s="36"/>
      <c r="CJ25" s="36"/>
      <c r="CK25" s="36"/>
      <c r="CL25" s="77"/>
      <c r="CM25" s="36">
        <f>$I$25*$L$25</f>
        <v>218220.45</v>
      </c>
      <c r="CN25" s="36"/>
      <c r="CO25" s="36"/>
      <c r="CP25" s="36"/>
      <c r="CQ25" s="36"/>
      <c r="CR25" s="36"/>
      <c r="CS25" s="36"/>
      <c r="CT25" s="36"/>
      <c r="CU25" s="36"/>
      <c r="CV25" s="36"/>
      <c r="CW25" s="36"/>
      <c r="CX25" s="36"/>
      <c r="CY25" s="36"/>
      <c r="CZ25" s="36">
        <f aca="true" t="shared" si="1" ref="CZ25:CZ46">SUM(M25:CY25)</f>
        <v>5269944.225000001</v>
      </c>
      <c r="DA25" s="88">
        <f>CZ25*(1+$E$10)^-6</f>
        <v>3932513.5201112805</v>
      </c>
      <c r="DB25" s="78">
        <f>$H$20</f>
        <v>107</v>
      </c>
      <c r="DC25" s="36">
        <f aca="true" t="shared" si="2" ref="DC25:DC34">$C$25*$DB$25</f>
        <v>227375</v>
      </c>
      <c r="DD25" s="36"/>
      <c r="DE25" s="36"/>
      <c r="DF25" s="36"/>
      <c r="DG25" s="36"/>
      <c r="DH25" s="36"/>
      <c r="DI25" s="36"/>
      <c r="DJ25" s="36"/>
      <c r="DK25" s="36"/>
      <c r="DL25" s="36"/>
      <c r="DM25" s="36"/>
      <c r="DN25" s="36"/>
      <c r="DO25" s="77"/>
      <c r="DP25" s="36">
        <f aca="true" t="shared" si="3" ref="DP25:DP34">$D$25*$DB$25</f>
        <v>94160</v>
      </c>
      <c r="DQ25" s="36"/>
      <c r="DR25" s="36"/>
      <c r="DS25" s="36"/>
      <c r="DT25" s="36"/>
      <c r="DU25" s="36"/>
      <c r="DV25" s="36"/>
      <c r="DW25" s="36"/>
      <c r="DX25" s="36"/>
      <c r="DY25" s="36"/>
      <c r="DZ25" s="36"/>
      <c r="EA25" s="36"/>
      <c r="EB25" s="77"/>
      <c r="EC25" s="36">
        <f aca="true" t="shared" si="4" ref="EC25:EC34">$E$25*$DB$25</f>
        <v>1194334</v>
      </c>
      <c r="ED25" s="36"/>
      <c r="EE25" s="36"/>
      <c r="EF25" s="36"/>
      <c r="EG25" s="36"/>
      <c r="EH25" s="36"/>
      <c r="EI25" s="36"/>
      <c r="EJ25" s="36"/>
      <c r="EK25" s="36"/>
      <c r="EL25" s="36"/>
      <c r="EM25" s="36"/>
      <c r="EN25" s="36"/>
      <c r="EO25" s="77"/>
      <c r="EP25" s="36">
        <f aca="true" t="shared" si="5" ref="EP25:EP34">$F$25*$DB$25</f>
        <v>398147</v>
      </c>
      <c r="EQ25" s="36"/>
      <c r="ER25" s="36"/>
      <c r="ES25" s="36"/>
      <c r="ET25" s="36"/>
      <c r="EU25" s="36"/>
      <c r="EV25" s="36"/>
      <c r="EW25" s="36"/>
      <c r="EX25" s="36"/>
      <c r="EY25" s="36"/>
      <c r="EZ25" s="36"/>
      <c r="FA25" s="36"/>
      <c r="FB25" s="77"/>
      <c r="FC25" s="36">
        <f aca="true" t="shared" si="6" ref="FC25:FC34">$G$25*$K$20</f>
        <v>83032</v>
      </c>
      <c r="FD25" s="36"/>
      <c r="FE25" s="36"/>
      <c r="FF25" s="36"/>
      <c r="FG25" s="36"/>
      <c r="FH25" s="36"/>
      <c r="FI25" s="36"/>
      <c r="FJ25" s="36"/>
      <c r="FK25" s="36"/>
      <c r="FL25" s="36"/>
      <c r="FM25" s="36"/>
      <c r="FN25" s="36"/>
      <c r="FO25" s="77"/>
      <c r="FP25" s="36">
        <f aca="true" t="shared" si="7" ref="FP25:FP34">$H$25*$K$20</f>
        <v>27645</v>
      </c>
      <c r="FQ25" s="36"/>
      <c r="FR25" s="36"/>
      <c r="FS25" s="36"/>
      <c r="FT25" s="36"/>
      <c r="FU25" s="36"/>
      <c r="FV25" s="36"/>
      <c r="FW25" s="36"/>
      <c r="FX25" s="36"/>
      <c r="FY25" s="36"/>
      <c r="FZ25" s="36"/>
      <c r="GA25" s="36"/>
      <c r="GB25" s="77"/>
      <c r="GC25" s="36">
        <f aca="true" t="shared" si="8" ref="GC25:GC34">$I$25*$DB$25</f>
        <v>87954</v>
      </c>
      <c r="GD25" s="36"/>
      <c r="GE25" s="36"/>
      <c r="GF25" s="36"/>
      <c r="GG25" s="36"/>
      <c r="GH25" s="36"/>
      <c r="GI25" s="36"/>
      <c r="GJ25" s="36"/>
      <c r="GK25" s="36"/>
      <c r="GL25" s="36"/>
      <c r="GM25" s="36"/>
      <c r="GN25" s="36"/>
      <c r="GO25" s="77"/>
      <c r="GP25" s="36">
        <f>SUM(DC25:GO25)</f>
        <v>2112647</v>
      </c>
      <c r="GQ25" s="38">
        <f>GP25*(1+$E$11)^-6</f>
        <v>1576489.7190581814</v>
      </c>
      <c r="GR25" s="38">
        <f>CZ25+GP25</f>
        <v>7382591.225000001</v>
      </c>
      <c r="GS25" s="51">
        <f aca="true" t="shared" si="9" ref="GS25:GS46">DA25+GQ25</f>
        <v>5509003.239169462</v>
      </c>
      <c r="GT25" s="36"/>
    </row>
    <row r="26" spans="1:202" ht="15.75">
      <c r="A26" s="9">
        <v>2002</v>
      </c>
      <c r="B26" s="49">
        <v>2009</v>
      </c>
      <c r="C26" s="31">
        <v>311</v>
      </c>
      <c r="D26" s="31">
        <v>124</v>
      </c>
      <c r="E26" s="31">
        <v>1419</v>
      </c>
      <c r="F26" s="31">
        <v>473</v>
      </c>
      <c r="G26" s="31">
        <v>156</v>
      </c>
      <c r="H26" s="31">
        <v>52</v>
      </c>
      <c r="I26" s="31">
        <v>105</v>
      </c>
      <c r="J26" s="84">
        <f aca="true" t="shared" si="10" ref="J26:J36">SUM(E26:I26)</f>
        <v>2205</v>
      </c>
      <c r="K26" s="86">
        <f aca="true" t="shared" si="11" ref="K26:K37">SUM(C26:I26)</f>
        <v>2640</v>
      </c>
      <c r="L26" s="36">
        <f>F20*0.1295</f>
        <v>265.475</v>
      </c>
      <c r="M26" s="36">
        <f t="shared" si="0"/>
        <v>564134.375</v>
      </c>
      <c r="N26" s="36">
        <f>$C$26*$L$26</f>
        <v>82562.725</v>
      </c>
      <c r="O26" s="36"/>
      <c r="P26" s="36"/>
      <c r="Q26" s="36"/>
      <c r="R26" s="36"/>
      <c r="S26" s="36"/>
      <c r="T26" s="36"/>
      <c r="U26" s="36"/>
      <c r="V26" s="36"/>
      <c r="W26" s="36"/>
      <c r="X26" s="36"/>
      <c r="Y26" s="47"/>
      <c r="Z26" s="36">
        <f aca="true" t="shared" si="12" ref="Z26:Z34">$D$25*$L$25</f>
        <v>233618.00000000003</v>
      </c>
      <c r="AA26" s="36">
        <f>$D$26*$L$26</f>
        <v>32918.9</v>
      </c>
      <c r="AB26" s="36"/>
      <c r="AC26" s="36"/>
      <c r="AD26" s="36"/>
      <c r="AE26" s="36"/>
      <c r="AF26" s="36"/>
      <c r="AG26" s="36"/>
      <c r="AH26" s="36"/>
      <c r="AI26" s="36"/>
      <c r="AJ26" s="36"/>
      <c r="AK26" s="37"/>
      <c r="AL26" s="46"/>
      <c r="AM26" s="36">
        <f aca="true" t="shared" si="13" ref="AM26:AM34">$E$25*$L$25</f>
        <v>2963231.95</v>
      </c>
      <c r="AN26" s="36">
        <f>$E$26*$L$26</f>
        <v>376709.025</v>
      </c>
      <c r="AO26" s="36"/>
      <c r="AP26" s="36"/>
      <c r="AQ26" s="36"/>
      <c r="AR26" s="36"/>
      <c r="AS26" s="36"/>
      <c r="AT26" s="36"/>
      <c r="AU26" s="36"/>
      <c r="AV26" s="36"/>
      <c r="AW26" s="36"/>
      <c r="AX26" s="36"/>
      <c r="AY26" s="47"/>
      <c r="AZ26" s="36">
        <f aca="true" t="shared" si="14" ref="AZ26:AZ34">$F$25*$L$25</f>
        <v>987832.4750000001</v>
      </c>
      <c r="BA26" s="36">
        <f>$F$26*$L$26</f>
        <v>125569.67500000002</v>
      </c>
      <c r="BB26" s="36"/>
      <c r="BC26" s="36"/>
      <c r="BD26" s="36"/>
      <c r="BE26" s="36"/>
      <c r="BF26" s="36"/>
      <c r="BG26" s="36"/>
      <c r="BH26" s="36"/>
      <c r="BI26" s="36"/>
      <c r="BJ26" s="36"/>
      <c r="BK26" s="36"/>
      <c r="BL26" s="47"/>
      <c r="BM26" s="36">
        <f aca="true" t="shared" si="15" ref="BM26:BM34">$G$25*$L$25</f>
        <v>227246.6</v>
      </c>
      <c r="BN26" s="36">
        <f>$G$26*$L$26</f>
        <v>41414.100000000006</v>
      </c>
      <c r="BO26" s="36"/>
      <c r="BP26" s="36"/>
      <c r="BQ26" s="36"/>
      <c r="BR26" s="36"/>
      <c r="BS26" s="36"/>
      <c r="BT26" s="36"/>
      <c r="BU26" s="36"/>
      <c r="BV26" s="36"/>
      <c r="BW26" s="36"/>
      <c r="BX26" s="36"/>
      <c r="BY26" s="47"/>
      <c r="BZ26" s="36">
        <f aca="true" t="shared" si="16" ref="BZ26:BZ34">$H$25*$L$25</f>
        <v>75660.375</v>
      </c>
      <c r="CA26" s="36">
        <f>$H$26*$L$26</f>
        <v>13804.7</v>
      </c>
      <c r="CB26" s="36"/>
      <c r="CC26" s="36"/>
      <c r="CD26" s="36"/>
      <c r="CE26" s="36"/>
      <c r="CF26" s="36"/>
      <c r="CG26" s="36"/>
      <c r="CH26" s="36"/>
      <c r="CI26" s="36"/>
      <c r="CJ26" s="36"/>
      <c r="CK26" s="36"/>
      <c r="CL26" s="47"/>
      <c r="CM26" s="36">
        <f aca="true" t="shared" si="17" ref="CM26:CM34">$I$25*$L$25</f>
        <v>218220.45</v>
      </c>
      <c r="CN26" s="36">
        <f>$I$26*$L$26</f>
        <v>27874.875000000004</v>
      </c>
      <c r="CO26" s="36"/>
      <c r="CP26" s="36"/>
      <c r="CQ26" s="36"/>
      <c r="CR26" s="36"/>
      <c r="CS26" s="36"/>
      <c r="CT26" s="36"/>
      <c r="CU26" s="36"/>
      <c r="CV26" s="36"/>
      <c r="CW26" s="36"/>
      <c r="CX26" s="36"/>
      <c r="CY26" s="36"/>
      <c r="CZ26" s="36">
        <f t="shared" si="1"/>
        <v>5970798.225000001</v>
      </c>
      <c r="DA26" s="38">
        <f>CZ26*(1+$E$10)^-7</f>
        <v>4243334.824481568</v>
      </c>
      <c r="DB26" s="47">
        <f>$H$20</f>
        <v>107</v>
      </c>
      <c r="DC26" s="36">
        <f t="shared" si="2"/>
        <v>227375</v>
      </c>
      <c r="DD26" s="36">
        <f aca="true" t="shared" si="18" ref="DD26:DD35">$C$26*$DB$26</f>
        <v>33277</v>
      </c>
      <c r="DE26" s="36"/>
      <c r="DF26" s="36"/>
      <c r="DG26" s="36"/>
      <c r="DH26" s="36"/>
      <c r="DI26" s="36"/>
      <c r="DJ26" s="36"/>
      <c r="DK26" s="36"/>
      <c r="DL26" s="36"/>
      <c r="DM26" s="36"/>
      <c r="DN26" s="36"/>
      <c r="DO26" s="47"/>
      <c r="DP26" s="36">
        <f t="shared" si="3"/>
        <v>94160</v>
      </c>
      <c r="DQ26" s="36">
        <f aca="true" t="shared" si="19" ref="DQ26:DQ35">$D$26*$DB$26</f>
        <v>13268</v>
      </c>
      <c r="DR26" s="36"/>
      <c r="DS26" s="36"/>
      <c r="DT26" s="36"/>
      <c r="DU26" s="36"/>
      <c r="DV26" s="36"/>
      <c r="DW26" s="36"/>
      <c r="DX26" s="36"/>
      <c r="DY26" s="36"/>
      <c r="DZ26" s="36"/>
      <c r="EA26" s="36"/>
      <c r="EB26" s="47"/>
      <c r="EC26" s="36">
        <f t="shared" si="4"/>
        <v>1194334</v>
      </c>
      <c r="ED26" s="36">
        <f aca="true" t="shared" si="20" ref="ED26:ED35">$E$26*$DB$26</f>
        <v>151833</v>
      </c>
      <c r="EE26" s="36"/>
      <c r="EF26" s="36"/>
      <c r="EG26" s="36"/>
      <c r="EH26" s="36"/>
      <c r="EI26" s="36"/>
      <c r="EJ26" s="36"/>
      <c r="EK26" s="36"/>
      <c r="EL26" s="36"/>
      <c r="EM26" s="36"/>
      <c r="EN26" s="36"/>
      <c r="EO26" s="47"/>
      <c r="EP26" s="36">
        <f t="shared" si="5"/>
        <v>398147</v>
      </c>
      <c r="EQ26" s="36">
        <f aca="true" t="shared" si="21" ref="EQ26:EQ35">$F$26*$DB$26</f>
        <v>50611</v>
      </c>
      <c r="ER26" s="36"/>
      <c r="ES26" s="36"/>
      <c r="ET26" s="36"/>
      <c r="EU26" s="36"/>
      <c r="EV26" s="36"/>
      <c r="EW26" s="36"/>
      <c r="EX26" s="36"/>
      <c r="EY26" s="36"/>
      <c r="EZ26" s="36"/>
      <c r="FA26" s="36"/>
      <c r="FB26" s="47"/>
      <c r="FC26" s="36">
        <f t="shared" si="6"/>
        <v>83032</v>
      </c>
      <c r="FD26" s="36">
        <f aca="true" t="shared" si="22" ref="FD26:FD35">$G$26*$K$20</f>
        <v>15132</v>
      </c>
      <c r="FE26" s="36"/>
      <c r="FF26" s="36"/>
      <c r="FG26" s="36"/>
      <c r="FH26" s="36"/>
      <c r="FI26" s="36"/>
      <c r="FJ26" s="36"/>
      <c r="FK26" s="36"/>
      <c r="FL26" s="36"/>
      <c r="FM26" s="36"/>
      <c r="FN26" s="36"/>
      <c r="FO26" s="47"/>
      <c r="FP26" s="36">
        <f t="shared" si="7"/>
        <v>27645</v>
      </c>
      <c r="FQ26" s="36">
        <f aca="true" t="shared" si="23" ref="FQ26:FQ35">$H$26*$K$20</f>
        <v>5044</v>
      </c>
      <c r="FR26" s="36"/>
      <c r="FS26" s="36"/>
      <c r="FT26" s="36"/>
      <c r="FU26" s="36"/>
      <c r="FV26" s="36"/>
      <c r="FW26" s="36"/>
      <c r="FX26" s="36"/>
      <c r="FY26" s="36"/>
      <c r="FZ26" s="36"/>
      <c r="GA26" s="36"/>
      <c r="GB26" s="47"/>
      <c r="GC26" s="36">
        <f t="shared" si="8"/>
        <v>87954</v>
      </c>
      <c r="GD26" s="36">
        <f aca="true" t="shared" si="24" ref="GD26:GD35">$I$26*$DB$26</f>
        <v>11235</v>
      </c>
      <c r="GE26" s="36"/>
      <c r="GF26" s="36"/>
      <c r="GG26" s="36"/>
      <c r="GH26" s="36"/>
      <c r="GI26" s="36"/>
      <c r="GJ26" s="36"/>
      <c r="GK26" s="36"/>
      <c r="GL26" s="36"/>
      <c r="GM26" s="36"/>
      <c r="GN26" s="36"/>
      <c r="GO26" s="47"/>
      <c r="GP26" s="36">
        <f>SUM(DC26:GO26)</f>
        <v>2393047</v>
      </c>
      <c r="GQ26" s="38">
        <f>GP26*(1+$E$11)^-7</f>
        <v>1700693.8250238968</v>
      </c>
      <c r="GR26" s="38">
        <f aca="true" t="shared" si="25" ref="GR26:GR46">CZ26+GP26</f>
        <v>8363845.225000001</v>
      </c>
      <c r="GS26" s="52">
        <f t="shared" si="9"/>
        <v>5944028.649505465</v>
      </c>
      <c r="GT26" s="36"/>
    </row>
    <row r="27" spans="1:202" ht="15.75" customHeight="1">
      <c r="A27" s="9">
        <v>2003</v>
      </c>
      <c r="B27" s="49">
        <v>2010</v>
      </c>
      <c r="C27" s="31">
        <v>326</v>
      </c>
      <c r="D27" s="31">
        <v>128</v>
      </c>
      <c r="E27" s="31">
        <v>1493</v>
      </c>
      <c r="F27" s="31">
        <v>498</v>
      </c>
      <c r="G27" s="31">
        <v>172</v>
      </c>
      <c r="H27" s="31">
        <v>57</v>
      </c>
      <c r="I27" s="31">
        <v>110</v>
      </c>
      <c r="J27" s="84">
        <f t="shared" si="10"/>
        <v>2330</v>
      </c>
      <c r="K27" s="86">
        <f t="shared" si="11"/>
        <v>2784</v>
      </c>
      <c r="L27" s="36">
        <f aca="true" t="shared" si="26" ref="L27:L37">$F$21*0.1295</f>
        <v>297.85</v>
      </c>
      <c r="M27" s="36">
        <f t="shared" si="0"/>
        <v>564134.375</v>
      </c>
      <c r="N27" s="36">
        <f aca="true" t="shared" si="27" ref="N27:N35">$C$26*$L$26</f>
        <v>82562.725</v>
      </c>
      <c r="O27" s="36">
        <f>$C$27*$L$27</f>
        <v>97099.1</v>
      </c>
      <c r="P27" s="36"/>
      <c r="Q27" s="36"/>
      <c r="R27" s="36"/>
      <c r="S27" s="36"/>
      <c r="T27" s="36"/>
      <c r="U27" s="36"/>
      <c r="V27" s="36"/>
      <c r="W27" s="36"/>
      <c r="X27" s="36"/>
      <c r="Y27" s="47"/>
      <c r="Z27" s="36">
        <f t="shared" si="12"/>
        <v>233618.00000000003</v>
      </c>
      <c r="AA27" s="36">
        <f aca="true" t="shared" si="28" ref="AA27:AA35">$D$26*$L$26</f>
        <v>32918.9</v>
      </c>
      <c r="AB27" s="36">
        <f>$D$27*$L$27</f>
        <v>38124.8</v>
      </c>
      <c r="AC27" s="36"/>
      <c r="AD27" s="36"/>
      <c r="AE27" s="36"/>
      <c r="AF27" s="36"/>
      <c r="AG27" s="36"/>
      <c r="AH27" s="36"/>
      <c r="AI27" s="36"/>
      <c r="AJ27" s="36"/>
      <c r="AK27" s="37"/>
      <c r="AL27" s="46"/>
      <c r="AM27" s="36">
        <f t="shared" si="13"/>
        <v>2963231.95</v>
      </c>
      <c r="AN27" s="36">
        <f aca="true" t="shared" si="29" ref="AN27:AN35">$E$26*$L$26</f>
        <v>376709.025</v>
      </c>
      <c r="AO27" s="36">
        <f>$E$27*$L$27</f>
        <v>444690.05000000005</v>
      </c>
      <c r="AP27" s="36"/>
      <c r="AQ27" s="36"/>
      <c r="AR27" s="36"/>
      <c r="AS27" s="36"/>
      <c r="AT27" s="36"/>
      <c r="AU27" s="36"/>
      <c r="AV27" s="36"/>
      <c r="AW27" s="36"/>
      <c r="AX27" s="36"/>
      <c r="AY27" s="47"/>
      <c r="AZ27" s="36">
        <f t="shared" si="14"/>
        <v>987832.4750000001</v>
      </c>
      <c r="BA27" s="36">
        <f aca="true" t="shared" si="30" ref="BA27:BA35">$F$26*$L$26</f>
        <v>125569.67500000002</v>
      </c>
      <c r="BB27" s="36">
        <f>$F$27*$L$27</f>
        <v>148329.30000000002</v>
      </c>
      <c r="BC27" s="36"/>
      <c r="BD27" s="36"/>
      <c r="BE27" s="36"/>
      <c r="BF27" s="36"/>
      <c r="BG27" s="36"/>
      <c r="BH27" s="36"/>
      <c r="BI27" s="36"/>
      <c r="BJ27" s="36"/>
      <c r="BK27" s="36"/>
      <c r="BL27" s="47"/>
      <c r="BM27" s="36">
        <f t="shared" si="15"/>
        <v>227246.6</v>
      </c>
      <c r="BN27" s="36">
        <f aca="true" t="shared" si="31" ref="BN27:BN35">$G$26*$L$26</f>
        <v>41414.100000000006</v>
      </c>
      <c r="BO27" s="36">
        <f>$G$27*$L$27</f>
        <v>51230.200000000004</v>
      </c>
      <c r="BP27" s="36"/>
      <c r="BQ27" s="36"/>
      <c r="BR27" s="36"/>
      <c r="BS27" s="36"/>
      <c r="BT27" s="36"/>
      <c r="BU27" s="36"/>
      <c r="BV27" s="36"/>
      <c r="BW27" s="36"/>
      <c r="BX27" s="36"/>
      <c r="BY27" s="47"/>
      <c r="BZ27" s="36">
        <f t="shared" si="16"/>
        <v>75660.375</v>
      </c>
      <c r="CA27" s="36">
        <f aca="true" t="shared" si="32" ref="CA27:CA35">$H$26*$L$26</f>
        <v>13804.7</v>
      </c>
      <c r="CB27" s="36">
        <f>$H$27*$L$27</f>
        <v>16977.45</v>
      </c>
      <c r="CC27" s="36"/>
      <c r="CD27" s="36"/>
      <c r="CE27" s="36"/>
      <c r="CF27" s="36"/>
      <c r="CG27" s="36"/>
      <c r="CH27" s="36"/>
      <c r="CI27" s="36"/>
      <c r="CJ27" s="36"/>
      <c r="CK27" s="36"/>
      <c r="CL27" s="47"/>
      <c r="CM27" s="36">
        <f t="shared" si="17"/>
        <v>218220.45</v>
      </c>
      <c r="CN27" s="36">
        <f aca="true" t="shared" si="33" ref="CN27:CN35">$I$26*$L$26</f>
        <v>27874.875000000004</v>
      </c>
      <c r="CO27" s="36">
        <f>$I$27*$L$27</f>
        <v>32763.500000000004</v>
      </c>
      <c r="CP27" s="36"/>
      <c r="CQ27" s="36"/>
      <c r="CR27" s="36"/>
      <c r="CS27" s="36"/>
      <c r="CT27" s="36"/>
      <c r="CU27" s="36"/>
      <c r="CV27" s="36"/>
      <c r="CW27" s="36"/>
      <c r="CX27" s="36"/>
      <c r="CY27" s="36"/>
      <c r="CZ27" s="36">
        <f t="shared" si="1"/>
        <v>6800012.625</v>
      </c>
      <c r="DA27" s="38">
        <f>CZ27*(1+$E$10)^-8</f>
        <v>4602516.206892019</v>
      </c>
      <c r="DB27" s="78">
        <f aca="true" t="shared" si="34" ref="DB27:DB37">$H$59</f>
        <v>0</v>
      </c>
      <c r="DC27" s="36">
        <f t="shared" si="2"/>
        <v>227375</v>
      </c>
      <c r="DD27" s="36">
        <f t="shared" si="18"/>
        <v>33277</v>
      </c>
      <c r="DE27" s="36">
        <f aca="true" t="shared" si="35" ref="DE27:DE36">$C$27*$DB$27</f>
        <v>0</v>
      </c>
      <c r="DF27" s="36"/>
      <c r="DG27" s="36"/>
      <c r="DH27" s="36"/>
      <c r="DI27" s="36"/>
      <c r="DJ27" s="36"/>
      <c r="DK27" s="36"/>
      <c r="DL27" s="36"/>
      <c r="DM27" s="36"/>
      <c r="DN27" s="36"/>
      <c r="DO27" s="47"/>
      <c r="DP27" s="36">
        <f t="shared" si="3"/>
        <v>94160</v>
      </c>
      <c r="DQ27" s="36">
        <f t="shared" si="19"/>
        <v>13268</v>
      </c>
      <c r="DR27" s="36">
        <f aca="true" t="shared" si="36" ref="DR27:DR36">$D$27*$DB$27</f>
        <v>0</v>
      </c>
      <c r="DS27" s="36"/>
      <c r="DT27" s="36"/>
      <c r="DU27" s="36"/>
      <c r="DV27" s="36"/>
      <c r="DW27" s="36"/>
      <c r="DX27" s="36"/>
      <c r="DY27" s="36"/>
      <c r="DZ27" s="36"/>
      <c r="EA27" s="36"/>
      <c r="EB27" s="47"/>
      <c r="EC27" s="36">
        <f t="shared" si="4"/>
        <v>1194334</v>
      </c>
      <c r="ED27" s="36">
        <f t="shared" si="20"/>
        <v>151833</v>
      </c>
      <c r="EE27" s="36">
        <f aca="true" t="shared" si="37" ref="EE27:EE36">$E$27*$DB$27</f>
        <v>0</v>
      </c>
      <c r="EF27" s="36"/>
      <c r="EG27" s="36"/>
      <c r="EH27" s="36"/>
      <c r="EI27" s="36"/>
      <c r="EJ27" s="36"/>
      <c r="EK27" s="36"/>
      <c r="EL27" s="36"/>
      <c r="EM27" s="36"/>
      <c r="EN27" s="36"/>
      <c r="EO27" s="47"/>
      <c r="EP27" s="36">
        <f t="shared" si="5"/>
        <v>398147</v>
      </c>
      <c r="EQ27" s="36">
        <f t="shared" si="21"/>
        <v>50611</v>
      </c>
      <c r="ER27" s="36">
        <f aca="true" t="shared" si="38" ref="ER27:ER36">$F$27*$DB$27</f>
        <v>0</v>
      </c>
      <c r="ES27" s="36"/>
      <c r="ET27" s="36"/>
      <c r="EU27" s="36"/>
      <c r="EV27" s="36"/>
      <c r="EW27" s="36"/>
      <c r="EX27" s="36"/>
      <c r="EY27" s="36"/>
      <c r="EZ27" s="36"/>
      <c r="FA27" s="36"/>
      <c r="FB27" s="47"/>
      <c r="FC27" s="36">
        <f t="shared" si="6"/>
        <v>83032</v>
      </c>
      <c r="FD27" s="36">
        <f t="shared" si="22"/>
        <v>15132</v>
      </c>
      <c r="FE27" s="36">
        <f aca="true" t="shared" si="39" ref="FE27:FE36">$G$27*$K$21</f>
        <v>0</v>
      </c>
      <c r="FF27" s="36"/>
      <c r="FG27" s="36"/>
      <c r="FH27" s="36"/>
      <c r="FI27" s="36"/>
      <c r="FJ27" s="36"/>
      <c r="FK27" s="36"/>
      <c r="FL27" s="36"/>
      <c r="FM27" s="36"/>
      <c r="FN27" s="36"/>
      <c r="FO27" s="47"/>
      <c r="FP27" s="36">
        <f t="shared" si="7"/>
        <v>27645</v>
      </c>
      <c r="FQ27" s="36">
        <f t="shared" si="23"/>
        <v>5044</v>
      </c>
      <c r="FR27" s="36">
        <f aca="true" t="shared" si="40" ref="FR27:FR36">$H$27*$K$21</f>
        <v>0</v>
      </c>
      <c r="FS27" s="36"/>
      <c r="FT27" s="36"/>
      <c r="FU27" s="36"/>
      <c r="FV27" s="36"/>
      <c r="FW27" s="36"/>
      <c r="FX27" s="36"/>
      <c r="FY27" s="36"/>
      <c r="FZ27" s="36"/>
      <c r="GA27" s="36"/>
      <c r="GB27" s="47"/>
      <c r="GC27" s="36">
        <f t="shared" si="8"/>
        <v>87954</v>
      </c>
      <c r="GD27" s="36">
        <f t="shared" si="24"/>
        <v>11235</v>
      </c>
      <c r="GE27" s="36">
        <f aca="true" t="shared" si="41" ref="GE27:GE36">$I$27*$DB$27</f>
        <v>0</v>
      </c>
      <c r="GF27" s="36"/>
      <c r="GG27" s="36"/>
      <c r="GH27" s="36"/>
      <c r="GI27" s="36"/>
      <c r="GJ27" s="36"/>
      <c r="GK27" s="36"/>
      <c r="GL27" s="36"/>
      <c r="GM27" s="36"/>
      <c r="GN27" s="36"/>
      <c r="GO27" s="47"/>
      <c r="GP27" s="36">
        <f>SUM(DC27:GO27)</f>
        <v>2393047</v>
      </c>
      <c r="GQ27" s="38">
        <f>GP27*(1+$E$11)^-8</f>
        <v>1619708.4047846638</v>
      </c>
      <c r="GR27" s="38">
        <f t="shared" si="25"/>
        <v>9193059.625</v>
      </c>
      <c r="GS27" s="52">
        <f t="shared" si="9"/>
        <v>6222224.611676683</v>
      </c>
      <c r="GT27" s="36"/>
    </row>
    <row r="28" spans="1:202" ht="15.75">
      <c r="A28" s="9">
        <v>2004</v>
      </c>
      <c r="B28" s="49">
        <v>2011</v>
      </c>
      <c r="C28" s="31">
        <v>340</v>
      </c>
      <c r="D28" s="31">
        <v>132</v>
      </c>
      <c r="E28" s="31">
        <v>1571</v>
      </c>
      <c r="F28" s="31">
        <v>524</v>
      </c>
      <c r="G28" s="31">
        <v>189</v>
      </c>
      <c r="H28" s="31">
        <v>63</v>
      </c>
      <c r="I28" s="31">
        <v>116</v>
      </c>
      <c r="J28" s="84">
        <f t="shared" si="10"/>
        <v>2463</v>
      </c>
      <c r="K28" s="86">
        <f t="shared" si="11"/>
        <v>2935</v>
      </c>
      <c r="L28" s="36">
        <f t="shared" si="26"/>
        <v>297.85</v>
      </c>
      <c r="M28" s="36">
        <f t="shared" si="0"/>
        <v>564134.375</v>
      </c>
      <c r="N28" s="36">
        <f t="shared" si="27"/>
        <v>82562.725</v>
      </c>
      <c r="O28" s="36">
        <f aca="true" t="shared" si="42" ref="O28:O36">$C$27*$L$27</f>
        <v>97099.1</v>
      </c>
      <c r="P28" s="36">
        <f aca="true" t="shared" si="43" ref="P28:P37">$C$28*$L$28</f>
        <v>101269.00000000001</v>
      </c>
      <c r="Q28" s="36"/>
      <c r="R28" s="36"/>
      <c r="S28" s="36"/>
      <c r="T28" s="36"/>
      <c r="U28" s="36"/>
      <c r="V28" s="36"/>
      <c r="W28" s="36"/>
      <c r="X28" s="36"/>
      <c r="Y28" s="47"/>
      <c r="Z28" s="36">
        <f t="shared" si="12"/>
        <v>233618.00000000003</v>
      </c>
      <c r="AA28" s="36">
        <f t="shared" si="28"/>
        <v>32918.9</v>
      </c>
      <c r="AB28" s="36">
        <f aca="true" t="shared" si="44" ref="AB28:AB36">$D$27*$L$27</f>
        <v>38124.8</v>
      </c>
      <c r="AC28" s="36">
        <f>$D$28*$L$28</f>
        <v>39316.200000000004</v>
      </c>
      <c r="AD28" s="36"/>
      <c r="AE28" s="36"/>
      <c r="AF28" s="36"/>
      <c r="AG28" s="36"/>
      <c r="AH28" s="36"/>
      <c r="AI28" s="36"/>
      <c r="AJ28" s="36"/>
      <c r="AK28" s="36"/>
      <c r="AL28" s="47"/>
      <c r="AM28" s="36">
        <f t="shared" si="13"/>
        <v>2963231.95</v>
      </c>
      <c r="AN28" s="36">
        <f t="shared" si="29"/>
        <v>376709.025</v>
      </c>
      <c r="AO28" s="36">
        <f aca="true" t="shared" si="45" ref="AO28:AO36">$E$27*$L$27</f>
        <v>444690.05000000005</v>
      </c>
      <c r="AP28" s="36">
        <f>$E$28*$L$28</f>
        <v>467922.35000000003</v>
      </c>
      <c r="AQ28" s="36"/>
      <c r="AR28" s="36"/>
      <c r="AS28" s="36"/>
      <c r="AT28" s="36"/>
      <c r="AU28" s="36"/>
      <c r="AV28" s="36"/>
      <c r="AW28" s="36"/>
      <c r="AX28" s="36"/>
      <c r="AY28" s="47"/>
      <c r="AZ28" s="36">
        <f t="shared" si="14"/>
        <v>987832.4750000001</v>
      </c>
      <c r="BA28" s="36">
        <f t="shared" si="30"/>
        <v>125569.67500000002</v>
      </c>
      <c r="BB28" s="36">
        <f aca="true" t="shared" si="46" ref="BB28:BB36">$F$27*$L$27</f>
        <v>148329.30000000002</v>
      </c>
      <c r="BC28" s="36">
        <f>$F$28*$L$28</f>
        <v>156073.40000000002</v>
      </c>
      <c r="BD28" s="36"/>
      <c r="BE28" s="36"/>
      <c r="BF28" s="36"/>
      <c r="BG28" s="36"/>
      <c r="BH28" s="36"/>
      <c r="BI28" s="36"/>
      <c r="BJ28" s="36"/>
      <c r="BK28" s="36"/>
      <c r="BL28" s="47"/>
      <c r="BM28" s="36">
        <f t="shared" si="15"/>
        <v>227246.6</v>
      </c>
      <c r="BN28" s="36">
        <f t="shared" si="31"/>
        <v>41414.100000000006</v>
      </c>
      <c r="BO28" s="36">
        <f aca="true" t="shared" si="47" ref="BO28:BO36">$G$27*$L$27</f>
        <v>51230.200000000004</v>
      </c>
      <c r="BP28" s="36">
        <f>$G$28*$L$28</f>
        <v>56293.65</v>
      </c>
      <c r="BQ28" s="36"/>
      <c r="BR28" s="36"/>
      <c r="BS28" s="36"/>
      <c r="BT28" s="36"/>
      <c r="BU28" s="36"/>
      <c r="BV28" s="36"/>
      <c r="BW28" s="36"/>
      <c r="BX28" s="36"/>
      <c r="BY28" s="47"/>
      <c r="BZ28" s="36">
        <f t="shared" si="16"/>
        <v>75660.375</v>
      </c>
      <c r="CA28" s="36">
        <f t="shared" si="32"/>
        <v>13804.7</v>
      </c>
      <c r="CB28" s="36">
        <f aca="true" t="shared" si="48" ref="CB28:CB36">$H$27*$L$27</f>
        <v>16977.45</v>
      </c>
      <c r="CC28" s="36">
        <f>$H$28*$L$28</f>
        <v>18764.550000000003</v>
      </c>
      <c r="CD28" s="36"/>
      <c r="CE28" s="36"/>
      <c r="CF28" s="36"/>
      <c r="CG28" s="36"/>
      <c r="CH28" s="36"/>
      <c r="CI28" s="36"/>
      <c r="CJ28" s="36"/>
      <c r="CK28" s="36"/>
      <c r="CL28" s="47"/>
      <c r="CM28" s="36">
        <f t="shared" si="17"/>
        <v>218220.45</v>
      </c>
      <c r="CN28" s="36">
        <f t="shared" si="33"/>
        <v>27874.875000000004</v>
      </c>
      <c r="CO28" s="36">
        <f aca="true" t="shared" si="49" ref="CO28:CO36">$I$27*$L$27</f>
        <v>32763.500000000004</v>
      </c>
      <c r="CP28" s="36">
        <f>$I$28*$L$28</f>
        <v>34550.600000000006</v>
      </c>
      <c r="CQ28" s="36"/>
      <c r="CR28" s="36"/>
      <c r="CS28" s="36"/>
      <c r="CT28" s="36"/>
      <c r="CU28" s="36"/>
      <c r="CV28" s="36"/>
      <c r="CW28" s="36"/>
      <c r="CX28" s="36"/>
      <c r="CY28" s="36"/>
      <c r="CZ28" s="36">
        <f t="shared" si="1"/>
        <v>7674202.374999999</v>
      </c>
      <c r="DA28" s="38">
        <f>CZ28*(1+$E$10)^-9</f>
        <v>4946859.275784795</v>
      </c>
      <c r="DB28" s="78">
        <f t="shared" si="34"/>
        <v>0</v>
      </c>
      <c r="DC28" s="36">
        <f t="shared" si="2"/>
        <v>227375</v>
      </c>
      <c r="DD28" s="36">
        <f t="shared" si="18"/>
        <v>33277</v>
      </c>
      <c r="DE28" s="36">
        <f t="shared" si="35"/>
        <v>0</v>
      </c>
      <c r="DF28" s="36">
        <f aca="true" t="shared" si="50" ref="DF28:DF37">$C$28*$DB$28</f>
        <v>0</v>
      </c>
      <c r="DG28" s="36"/>
      <c r="DH28" s="36"/>
      <c r="DI28" s="36"/>
      <c r="DJ28" s="36"/>
      <c r="DK28" s="36"/>
      <c r="DL28" s="36"/>
      <c r="DM28" s="36"/>
      <c r="DN28" s="36"/>
      <c r="DO28" s="47"/>
      <c r="DP28" s="36">
        <f t="shared" si="3"/>
        <v>94160</v>
      </c>
      <c r="DQ28" s="36">
        <f t="shared" si="19"/>
        <v>13268</v>
      </c>
      <c r="DR28" s="36">
        <f t="shared" si="36"/>
        <v>0</v>
      </c>
      <c r="DS28" s="36">
        <f aca="true" t="shared" si="51" ref="DS28:DS37">$D$28*$DB$28</f>
        <v>0</v>
      </c>
      <c r="DT28" s="36"/>
      <c r="DU28" s="36"/>
      <c r="DV28" s="36"/>
      <c r="DW28" s="36"/>
      <c r="DX28" s="36"/>
      <c r="DY28" s="36"/>
      <c r="DZ28" s="36"/>
      <c r="EA28" s="36"/>
      <c r="EB28" s="47"/>
      <c r="EC28" s="36">
        <f t="shared" si="4"/>
        <v>1194334</v>
      </c>
      <c r="ED28" s="36">
        <f t="shared" si="20"/>
        <v>151833</v>
      </c>
      <c r="EE28" s="36">
        <f t="shared" si="37"/>
        <v>0</v>
      </c>
      <c r="EF28" s="36">
        <f aca="true" t="shared" si="52" ref="EF28:EF37">$E$28*$DB$28</f>
        <v>0</v>
      </c>
      <c r="EG28" s="36"/>
      <c r="EH28" s="36"/>
      <c r="EI28" s="36"/>
      <c r="EJ28" s="36"/>
      <c r="EK28" s="36"/>
      <c r="EL28" s="36"/>
      <c r="EM28" s="36"/>
      <c r="EN28" s="36"/>
      <c r="EO28" s="47"/>
      <c r="EP28" s="36">
        <f t="shared" si="5"/>
        <v>398147</v>
      </c>
      <c r="EQ28" s="36">
        <f t="shared" si="21"/>
        <v>50611</v>
      </c>
      <c r="ER28" s="36">
        <f t="shared" si="38"/>
        <v>0</v>
      </c>
      <c r="ES28" s="36">
        <f aca="true" t="shared" si="53" ref="ES28:ES37">$F$28*$DB$28</f>
        <v>0</v>
      </c>
      <c r="ET28" s="36"/>
      <c r="EU28" s="36"/>
      <c r="EV28" s="36"/>
      <c r="EW28" s="36"/>
      <c r="EX28" s="36"/>
      <c r="EY28" s="36"/>
      <c r="EZ28" s="36"/>
      <c r="FA28" s="36"/>
      <c r="FB28" s="47"/>
      <c r="FC28" s="36">
        <f t="shared" si="6"/>
        <v>83032</v>
      </c>
      <c r="FD28" s="36">
        <f t="shared" si="22"/>
        <v>15132</v>
      </c>
      <c r="FE28" s="36">
        <f t="shared" si="39"/>
        <v>0</v>
      </c>
      <c r="FF28" s="36">
        <f aca="true" t="shared" si="54" ref="FF28:FF37">$G$28*$K$21</f>
        <v>0</v>
      </c>
      <c r="FG28" s="36"/>
      <c r="FH28" s="36"/>
      <c r="FI28" s="36"/>
      <c r="FJ28" s="36"/>
      <c r="FK28" s="36"/>
      <c r="FL28" s="36"/>
      <c r="FM28" s="36"/>
      <c r="FN28" s="36"/>
      <c r="FO28" s="47"/>
      <c r="FP28" s="36">
        <f t="shared" si="7"/>
        <v>27645</v>
      </c>
      <c r="FQ28" s="36">
        <f t="shared" si="23"/>
        <v>5044</v>
      </c>
      <c r="FR28" s="36">
        <f t="shared" si="40"/>
        <v>0</v>
      </c>
      <c r="FS28" s="36">
        <f aca="true" t="shared" si="55" ref="FS28:FS37">$H$28*$K$21</f>
        <v>0</v>
      </c>
      <c r="FT28" s="36"/>
      <c r="FU28" s="36"/>
      <c r="FV28" s="36"/>
      <c r="FW28" s="36"/>
      <c r="FX28" s="36"/>
      <c r="FY28" s="36"/>
      <c r="FZ28" s="36"/>
      <c r="GA28" s="36"/>
      <c r="GB28" s="47"/>
      <c r="GC28" s="36">
        <f t="shared" si="8"/>
        <v>87954</v>
      </c>
      <c r="GD28" s="36">
        <f t="shared" si="24"/>
        <v>11235</v>
      </c>
      <c r="GE28" s="36">
        <f t="shared" si="41"/>
        <v>0</v>
      </c>
      <c r="GF28" s="36">
        <f aca="true" t="shared" si="56" ref="GF28:GF37">$I$28*$DB$28</f>
        <v>0</v>
      </c>
      <c r="GG28" s="36"/>
      <c r="GH28" s="36"/>
      <c r="GI28" s="36"/>
      <c r="GJ28" s="36"/>
      <c r="GK28" s="36"/>
      <c r="GL28" s="36"/>
      <c r="GM28" s="36"/>
      <c r="GN28" s="36"/>
      <c r="GO28" s="47"/>
      <c r="GP28" s="36">
        <f>SUM(DC28:GO28)</f>
        <v>2393047</v>
      </c>
      <c r="GQ28" s="38">
        <f>GP28*(1+$E$11)^-9</f>
        <v>1542579.433128251</v>
      </c>
      <c r="GR28" s="38">
        <f t="shared" si="25"/>
        <v>10067249.375</v>
      </c>
      <c r="GS28" s="52">
        <f t="shared" si="9"/>
        <v>6489438.708913046</v>
      </c>
      <c r="GT28" s="36"/>
    </row>
    <row r="29" spans="1:202" ht="15.75">
      <c r="A29" s="9">
        <v>2005</v>
      </c>
      <c r="B29" s="49">
        <v>2012</v>
      </c>
      <c r="C29" s="31">
        <v>356</v>
      </c>
      <c r="D29" s="31">
        <v>136</v>
      </c>
      <c r="E29" s="31">
        <v>1652</v>
      </c>
      <c r="F29" s="31">
        <v>551</v>
      </c>
      <c r="G29" s="31">
        <v>209</v>
      </c>
      <c r="H29" s="31">
        <v>70</v>
      </c>
      <c r="I29" s="31">
        <v>122</v>
      </c>
      <c r="J29" s="84">
        <f t="shared" si="10"/>
        <v>2604</v>
      </c>
      <c r="K29" s="86">
        <f t="shared" si="11"/>
        <v>3096</v>
      </c>
      <c r="L29" s="36">
        <f t="shared" si="26"/>
        <v>297.85</v>
      </c>
      <c r="M29" s="36">
        <f t="shared" si="0"/>
        <v>564134.375</v>
      </c>
      <c r="N29" s="36">
        <f t="shared" si="27"/>
        <v>82562.725</v>
      </c>
      <c r="O29" s="36">
        <f t="shared" si="42"/>
        <v>97099.1</v>
      </c>
      <c r="P29" s="36">
        <f t="shared" si="43"/>
        <v>101269.00000000001</v>
      </c>
      <c r="Q29" s="36">
        <f>$C$29*$L$29</f>
        <v>106034.6</v>
      </c>
      <c r="R29" s="36"/>
      <c r="S29" s="36"/>
      <c r="T29" s="36"/>
      <c r="U29" s="36"/>
      <c r="V29" s="36"/>
      <c r="W29" s="36"/>
      <c r="X29" s="36"/>
      <c r="Y29" s="47"/>
      <c r="Z29" s="36">
        <f t="shared" si="12"/>
        <v>233618.00000000003</v>
      </c>
      <c r="AA29" s="36">
        <f t="shared" si="28"/>
        <v>32918.9</v>
      </c>
      <c r="AB29" s="36">
        <f t="shared" si="44"/>
        <v>38124.8</v>
      </c>
      <c r="AC29" s="36">
        <f aca="true" t="shared" si="57" ref="AC29:AC37">$D$28*$L$28</f>
        <v>39316.200000000004</v>
      </c>
      <c r="AD29" s="36">
        <f>$D$29*$L$29</f>
        <v>40507.600000000006</v>
      </c>
      <c r="AE29" s="36"/>
      <c r="AF29" s="36"/>
      <c r="AG29" s="36"/>
      <c r="AH29" s="36"/>
      <c r="AI29" s="36"/>
      <c r="AJ29" s="36"/>
      <c r="AK29" s="36"/>
      <c r="AL29" s="47"/>
      <c r="AM29" s="36">
        <f t="shared" si="13"/>
        <v>2963231.95</v>
      </c>
      <c r="AN29" s="36">
        <f t="shared" si="29"/>
        <v>376709.025</v>
      </c>
      <c r="AO29" s="36">
        <f t="shared" si="45"/>
        <v>444690.05000000005</v>
      </c>
      <c r="AP29" s="36">
        <f aca="true" t="shared" si="58" ref="AP29:AP37">$E$28*$L$28</f>
        <v>467922.35000000003</v>
      </c>
      <c r="AQ29" s="36">
        <f>$E$29*$L$29</f>
        <v>492048.2</v>
      </c>
      <c r="AR29" s="36"/>
      <c r="AS29" s="36"/>
      <c r="AT29" s="36"/>
      <c r="AU29" s="36"/>
      <c r="AV29" s="36"/>
      <c r="AW29" s="36"/>
      <c r="AX29" s="36"/>
      <c r="AY29" s="47"/>
      <c r="AZ29" s="36">
        <f t="shared" si="14"/>
        <v>987832.4750000001</v>
      </c>
      <c r="BA29" s="36">
        <f t="shared" si="30"/>
        <v>125569.67500000002</v>
      </c>
      <c r="BB29" s="36">
        <f t="shared" si="46"/>
        <v>148329.30000000002</v>
      </c>
      <c r="BC29" s="36">
        <f aca="true" t="shared" si="59" ref="BC29:BC37">$F$28*$L$28</f>
        <v>156073.40000000002</v>
      </c>
      <c r="BD29" s="36">
        <f>$F$29*$L$29</f>
        <v>164115.35</v>
      </c>
      <c r="BE29" s="36"/>
      <c r="BF29" s="36"/>
      <c r="BG29" s="36"/>
      <c r="BH29" s="36"/>
      <c r="BI29" s="36"/>
      <c r="BJ29" s="36"/>
      <c r="BK29" s="36"/>
      <c r="BL29" s="47"/>
      <c r="BM29" s="36">
        <f t="shared" si="15"/>
        <v>227246.6</v>
      </c>
      <c r="BN29" s="36">
        <f t="shared" si="31"/>
        <v>41414.100000000006</v>
      </c>
      <c r="BO29" s="36">
        <f t="shared" si="47"/>
        <v>51230.200000000004</v>
      </c>
      <c r="BP29" s="36">
        <f aca="true" t="shared" si="60" ref="BP29:BP37">$G$28*$L$28</f>
        <v>56293.65</v>
      </c>
      <c r="BQ29" s="36">
        <f>$G$29*$L$29</f>
        <v>62250.65</v>
      </c>
      <c r="BR29" s="36"/>
      <c r="BS29" s="36"/>
      <c r="BT29" s="36"/>
      <c r="BU29" s="36"/>
      <c r="BV29" s="36"/>
      <c r="BW29" s="36"/>
      <c r="BX29" s="36"/>
      <c r="BY29" s="47"/>
      <c r="BZ29" s="36">
        <f t="shared" si="16"/>
        <v>75660.375</v>
      </c>
      <c r="CA29" s="36">
        <f t="shared" si="32"/>
        <v>13804.7</v>
      </c>
      <c r="CB29" s="36">
        <f t="shared" si="48"/>
        <v>16977.45</v>
      </c>
      <c r="CC29" s="36">
        <f aca="true" t="shared" si="61" ref="CC29:CC37">$H$28*$L$28</f>
        <v>18764.550000000003</v>
      </c>
      <c r="CD29" s="36">
        <f>$H$29*$L$29</f>
        <v>20849.5</v>
      </c>
      <c r="CE29" s="36"/>
      <c r="CF29" s="36"/>
      <c r="CG29" s="36"/>
      <c r="CH29" s="36"/>
      <c r="CI29" s="36"/>
      <c r="CJ29" s="36"/>
      <c r="CK29" s="36"/>
      <c r="CL29" s="47"/>
      <c r="CM29" s="36">
        <f t="shared" si="17"/>
        <v>218220.45</v>
      </c>
      <c r="CN29" s="36">
        <f t="shared" si="33"/>
        <v>27874.875000000004</v>
      </c>
      <c r="CO29" s="36">
        <f t="shared" si="49"/>
        <v>32763.500000000004</v>
      </c>
      <c r="CP29" s="36">
        <f aca="true" t="shared" si="62" ref="CP29:CP37">$I$28*$L$28</f>
        <v>34550.600000000006</v>
      </c>
      <c r="CQ29" s="36">
        <f>$I$29*$L$29</f>
        <v>36337.700000000004</v>
      </c>
      <c r="CR29" s="36"/>
      <c r="CS29" s="36"/>
      <c r="CT29" s="36"/>
      <c r="CU29" s="36"/>
      <c r="CV29" s="36"/>
      <c r="CW29" s="36"/>
      <c r="CX29" s="36"/>
      <c r="CY29" s="36"/>
      <c r="CZ29" s="36">
        <f t="shared" si="1"/>
        <v>8596345.974999998</v>
      </c>
      <c r="DA29" s="38">
        <f>CZ29*(1+$E$10)^-10</f>
        <v>5277410.72607426</v>
      </c>
      <c r="DB29" s="78">
        <f t="shared" si="34"/>
        <v>0</v>
      </c>
      <c r="DC29" s="36">
        <f t="shared" si="2"/>
        <v>227375</v>
      </c>
      <c r="DD29" s="36">
        <f t="shared" si="18"/>
        <v>33277</v>
      </c>
      <c r="DE29" s="36">
        <f t="shared" si="35"/>
        <v>0</v>
      </c>
      <c r="DF29" s="36">
        <f t="shared" si="50"/>
        <v>0</v>
      </c>
      <c r="DG29" s="36">
        <f aca="true" t="shared" si="63" ref="DG29:DG38">$C$29*$DB$29</f>
        <v>0</v>
      </c>
      <c r="DH29" s="36"/>
      <c r="DI29" s="36"/>
      <c r="DJ29" s="36"/>
      <c r="DK29" s="36"/>
      <c r="DL29" s="36"/>
      <c r="DM29" s="36"/>
      <c r="DN29" s="36"/>
      <c r="DO29" s="47"/>
      <c r="DP29" s="36">
        <f t="shared" si="3"/>
        <v>94160</v>
      </c>
      <c r="DQ29" s="36">
        <f t="shared" si="19"/>
        <v>13268</v>
      </c>
      <c r="DR29" s="36">
        <f t="shared" si="36"/>
        <v>0</v>
      </c>
      <c r="DS29" s="36">
        <f t="shared" si="51"/>
        <v>0</v>
      </c>
      <c r="DT29" s="36">
        <f aca="true" t="shared" si="64" ref="DT29:DT38">$D$29*$DB$29</f>
        <v>0</v>
      </c>
      <c r="DU29" s="36"/>
      <c r="DV29" s="36"/>
      <c r="DW29" s="36"/>
      <c r="DX29" s="36"/>
      <c r="DY29" s="36"/>
      <c r="DZ29" s="36"/>
      <c r="EA29" s="36"/>
      <c r="EB29" s="47"/>
      <c r="EC29" s="36">
        <f t="shared" si="4"/>
        <v>1194334</v>
      </c>
      <c r="ED29" s="36">
        <f t="shared" si="20"/>
        <v>151833</v>
      </c>
      <c r="EE29" s="36">
        <f t="shared" si="37"/>
        <v>0</v>
      </c>
      <c r="EF29" s="36">
        <f t="shared" si="52"/>
        <v>0</v>
      </c>
      <c r="EG29" s="36">
        <f aca="true" t="shared" si="65" ref="EG29:EG38">$E$29*$DB$29</f>
        <v>0</v>
      </c>
      <c r="EH29" s="36"/>
      <c r="EI29" s="36"/>
      <c r="EJ29" s="36"/>
      <c r="EK29" s="36"/>
      <c r="EL29" s="36"/>
      <c r="EM29" s="36"/>
      <c r="EN29" s="36"/>
      <c r="EO29" s="47"/>
      <c r="EP29" s="36">
        <f t="shared" si="5"/>
        <v>398147</v>
      </c>
      <c r="EQ29" s="36">
        <f t="shared" si="21"/>
        <v>50611</v>
      </c>
      <c r="ER29" s="36">
        <f t="shared" si="38"/>
        <v>0</v>
      </c>
      <c r="ES29" s="36">
        <f t="shared" si="53"/>
        <v>0</v>
      </c>
      <c r="ET29" s="36">
        <f aca="true" t="shared" si="66" ref="ET29:ET38">$F$29*$DB$29</f>
        <v>0</v>
      </c>
      <c r="EU29" s="36"/>
      <c r="EV29" s="36"/>
      <c r="EW29" s="36"/>
      <c r="EX29" s="36"/>
      <c r="EY29" s="36"/>
      <c r="EZ29" s="36"/>
      <c r="FA29" s="36"/>
      <c r="FB29" s="47"/>
      <c r="FC29" s="36">
        <f t="shared" si="6"/>
        <v>83032</v>
      </c>
      <c r="FD29" s="36">
        <f t="shared" si="22"/>
        <v>15132</v>
      </c>
      <c r="FE29" s="36">
        <f t="shared" si="39"/>
        <v>0</v>
      </c>
      <c r="FF29" s="36">
        <f t="shared" si="54"/>
        <v>0</v>
      </c>
      <c r="FG29" s="36">
        <f aca="true" t="shared" si="67" ref="FG29:FG38">$G$29*$K$21</f>
        <v>0</v>
      </c>
      <c r="FH29" s="36"/>
      <c r="FI29" s="36"/>
      <c r="FJ29" s="36"/>
      <c r="FK29" s="36"/>
      <c r="FL29" s="36"/>
      <c r="FM29" s="36"/>
      <c r="FN29" s="36"/>
      <c r="FO29" s="47"/>
      <c r="FP29" s="36">
        <f t="shared" si="7"/>
        <v>27645</v>
      </c>
      <c r="FQ29" s="36">
        <f t="shared" si="23"/>
        <v>5044</v>
      </c>
      <c r="FR29" s="36">
        <f t="shared" si="40"/>
        <v>0</v>
      </c>
      <c r="FS29" s="36">
        <f t="shared" si="55"/>
        <v>0</v>
      </c>
      <c r="FT29" s="36">
        <f aca="true" t="shared" si="68" ref="FT29:FT38">$H$29*$K$21</f>
        <v>0</v>
      </c>
      <c r="FU29" s="36"/>
      <c r="FV29" s="36"/>
      <c r="FW29" s="36"/>
      <c r="FX29" s="36"/>
      <c r="FY29" s="36"/>
      <c r="FZ29" s="36"/>
      <c r="GA29" s="36"/>
      <c r="GB29" s="47"/>
      <c r="GC29" s="36">
        <f t="shared" si="8"/>
        <v>87954</v>
      </c>
      <c r="GD29" s="36">
        <f t="shared" si="24"/>
        <v>11235</v>
      </c>
      <c r="GE29" s="36">
        <f t="shared" si="41"/>
        <v>0</v>
      </c>
      <c r="GF29" s="36">
        <f t="shared" si="56"/>
        <v>0</v>
      </c>
      <c r="GG29" s="36">
        <f aca="true" t="shared" si="69" ref="GG29:GG38">$I$29*$DB$29</f>
        <v>0</v>
      </c>
      <c r="GH29" s="36"/>
      <c r="GI29" s="36"/>
      <c r="GJ29" s="36"/>
      <c r="GK29" s="36"/>
      <c r="GL29" s="36"/>
      <c r="GM29" s="36"/>
      <c r="GN29" s="36"/>
      <c r="GO29" s="47"/>
      <c r="GP29" s="36">
        <f>SUM(DC29:GO29)</f>
        <v>2393047</v>
      </c>
      <c r="GQ29" s="38">
        <f>GP29*(1+$E$11)^-10</f>
        <v>1469123.2696459536</v>
      </c>
      <c r="GR29" s="38">
        <f t="shared" si="25"/>
        <v>10989392.974999998</v>
      </c>
      <c r="GS29" s="52">
        <f t="shared" si="9"/>
        <v>6746533.995720213</v>
      </c>
      <c r="GT29" s="36"/>
    </row>
    <row r="30" spans="1:202" ht="15.75" customHeight="1">
      <c r="A30" s="9">
        <v>2006</v>
      </c>
      <c r="B30" s="49">
        <v>2013</v>
      </c>
      <c r="C30" s="31">
        <v>372</v>
      </c>
      <c r="D30" s="31">
        <v>140</v>
      </c>
      <c r="E30" s="31">
        <v>1738</v>
      </c>
      <c r="F30" s="31">
        <v>579</v>
      </c>
      <c r="G30" s="31">
        <v>230</v>
      </c>
      <c r="H30" s="31">
        <v>77</v>
      </c>
      <c r="I30" s="31">
        <v>128</v>
      </c>
      <c r="J30" s="84">
        <f t="shared" si="10"/>
        <v>2752</v>
      </c>
      <c r="K30" s="86">
        <f t="shared" si="11"/>
        <v>3264</v>
      </c>
      <c r="L30" s="36">
        <f t="shared" si="26"/>
        <v>297.85</v>
      </c>
      <c r="M30" s="36">
        <f t="shared" si="0"/>
        <v>564134.375</v>
      </c>
      <c r="N30" s="36">
        <f t="shared" si="27"/>
        <v>82562.725</v>
      </c>
      <c r="O30" s="36">
        <f t="shared" si="42"/>
        <v>97099.1</v>
      </c>
      <c r="P30" s="36">
        <f t="shared" si="43"/>
        <v>101269.00000000001</v>
      </c>
      <c r="Q30" s="36">
        <f aca="true" t="shared" si="70" ref="Q30:Q38">$C$29*$L$29</f>
        <v>106034.6</v>
      </c>
      <c r="R30" s="36">
        <f>$C$30*$L$30</f>
        <v>110800.20000000001</v>
      </c>
      <c r="S30" s="36"/>
      <c r="T30" s="36"/>
      <c r="U30" s="36"/>
      <c r="V30" s="36"/>
      <c r="W30" s="36"/>
      <c r="X30" s="36"/>
      <c r="Y30" s="47"/>
      <c r="Z30" s="36">
        <f t="shared" si="12"/>
        <v>233618.00000000003</v>
      </c>
      <c r="AA30" s="36">
        <f t="shared" si="28"/>
        <v>32918.9</v>
      </c>
      <c r="AB30" s="36">
        <f t="shared" si="44"/>
        <v>38124.8</v>
      </c>
      <c r="AC30" s="36">
        <f t="shared" si="57"/>
        <v>39316.200000000004</v>
      </c>
      <c r="AD30" s="36">
        <f aca="true" t="shared" si="71" ref="AD30:AD38">$D$29*$L$29</f>
        <v>40507.600000000006</v>
      </c>
      <c r="AE30" s="36">
        <f>$D$30*$L$30</f>
        <v>41699</v>
      </c>
      <c r="AF30" s="36"/>
      <c r="AG30" s="36"/>
      <c r="AH30" s="36"/>
      <c r="AI30" s="36"/>
      <c r="AJ30" s="36"/>
      <c r="AK30" s="36"/>
      <c r="AL30" s="47"/>
      <c r="AM30" s="36">
        <f t="shared" si="13"/>
        <v>2963231.95</v>
      </c>
      <c r="AN30" s="36">
        <f t="shared" si="29"/>
        <v>376709.025</v>
      </c>
      <c r="AO30" s="36">
        <f t="shared" si="45"/>
        <v>444690.05000000005</v>
      </c>
      <c r="AP30" s="36">
        <f t="shared" si="58"/>
        <v>467922.35000000003</v>
      </c>
      <c r="AQ30" s="36">
        <f aca="true" t="shared" si="72" ref="AQ30:AQ38">$E$29*$L$29</f>
        <v>492048.2</v>
      </c>
      <c r="AR30" s="36">
        <f>$E$30*$L$30</f>
        <v>517663.30000000005</v>
      </c>
      <c r="AS30" s="36"/>
      <c r="AT30" s="36"/>
      <c r="AU30" s="36"/>
      <c r="AV30" s="36"/>
      <c r="AW30" s="36"/>
      <c r="AX30" s="36"/>
      <c r="AY30" s="47"/>
      <c r="AZ30" s="36">
        <f t="shared" si="14"/>
        <v>987832.4750000001</v>
      </c>
      <c r="BA30" s="36">
        <f t="shared" si="30"/>
        <v>125569.67500000002</v>
      </c>
      <c r="BB30" s="36">
        <f t="shared" si="46"/>
        <v>148329.30000000002</v>
      </c>
      <c r="BC30" s="36">
        <f t="shared" si="59"/>
        <v>156073.40000000002</v>
      </c>
      <c r="BD30" s="36">
        <f aca="true" t="shared" si="73" ref="BD30:BD38">$F$29*$L$29</f>
        <v>164115.35</v>
      </c>
      <c r="BE30" s="36">
        <f>$F$30*$L$30</f>
        <v>172455.15000000002</v>
      </c>
      <c r="BF30" s="36"/>
      <c r="BG30" s="36"/>
      <c r="BH30" s="36"/>
      <c r="BI30" s="36"/>
      <c r="BJ30" s="36"/>
      <c r="BK30" s="36"/>
      <c r="BL30" s="47"/>
      <c r="BM30" s="36">
        <f t="shared" si="15"/>
        <v>227246.6</v>
      </c>
      <c r="BN30" s="36">
        <f t="shared" si="31"/>
        <v>41414.100000000006</v>
      </c>
      <c r="BO30" s="36">
        <f t="shared" si="47"/>
        <v>51230.200000000004</v>
      </c>
      <c r="BP30" s="36">
        <f t="shared" si="60"/>
        <v>56293.65</v>
      </c>
      <c r="BQ30" s="36">
        <f aca="true" t="shared" si="74" ref="BQ30:BQ38">$G$29*$L$29</f>
        <v>62250.65</v>
      </c>
      <c r="BR30" s="36">
        <f>$G$30*$L$30</f>
        <v>68505.5</v>
      </c>
      <c r="BS30" s="36"/>
      <c r="BT30" s="36"/>
      <c r="BU30" s="36"/>
      <c r="BV30" s="36"/>
      <c r="BW30" s="36"/>
      <c r="BX30" s="36"/>
      <c r="BY30" s="47"/>
      <c r="BZ30" s="36">
        <f t="shared" si="16"/>
        <v>75660.375</v>
      </c>
      <c r="CA30" s="36">
        <f t="shared" si="32"/>
        <v>13804.7</v>
      </c>
      <c r="CB30" s="36">
        <f t="shared" si="48"/>
        <v>16977.45</v>
      </c>
      <c r="CC30" s="36">
        <f t="shared" si="61"/>
        <v>18764.550000000003</v>
      </c>
      <c r="CD30" s="36">
        <f aca="true" t="shared" si="75" ref="CD30:CD38">$H$29*$L$29</f>
        <v>20849.5</v>
      </c>
      <c r="CE30" s="36">
        <f>$H$30*$L$30</f>
        <v>22934.45</v>
      </c>
      <c r="CF30" s="36"/>
      <c r="CG30" s="36"/>
      <c r="CH30" s="36"/>
      <c r="CI30" s="36"/>
      <c r="CJ30" s="36"/>
      <c r="CK30" s="36"/>
      <c r="CL30" s="47"/>
      <c r="CM30" s="36">
        <f t="shared" si="17"/>
        <v>218220.45</v>
      </c>
      <c r="CN30" s="36">
        <f t="shared" si="33"/>
        <v>27874.875000000004</v>
      </c>
      <c r="CO30" s="36">
        <f t="shared" si="49"/>
        <v>32763.500000000004</v>
      </c>
      <c r="CP30" s="36">
        <f t="shared" si="62"/>
        <v>34550.600000000006</v>
      </c>
      <c r="CQ30" s="36">
        <f>$I$29*$L$29</f>
        <v>36337.700000000004</v>
      </c>
      <c r="CR30" s="36">
        <f>$I$30*$L$30</f>
        <v>38124.8</v>
      </c>
      <c r="CS30" s="36"/>
      <c r="CT30" s="36"/>
      <c r="CU30" s="36"/>
      <c r="CV30" s="36"/>
      <c r="CW30" s="36"/>
      <c r="CX30" s="36"/>
      <c r="CY30" s="36"/>
      <c r="CZ30" s="36">
        <f t="shared" si="1"/>
        <v>9568528.374999996</v>
      </c>
      <c r="DA30" s="38">
        <f>CZ30*(1+$E$10)^-11</f>
        <v>5594520.367898402</v>
      </c>
      <c r="DB30" s="78">
        <f t="shared" si="34"/>
        <v>0</v>
      </c>
      <c r="DC30" s="36">
        <f t="shared" si="2"/>
        <v>227375</v>
      </c>
      <c r="DD30" s="36">
        <f t="shared" si="18"/>
        <v>33277</v>
      </c>
      <c r="DE30" s="36">
        <f t="shared" si="35"/>
        <v>0</v>
      </c>
      <c r="DF30" s="36">
        <f t="shared" si="50"/>
        <v>0</v>
      </c>
      <c r="DG30" s="36">
        <f t="shared" si="63"/>
        <v>0</v>
      </c>
      <c r="DH30" s="36">
        <f aca="true" t="shared" si="76" ref="DH30:DH39">$C$30*$DB$30</f>
        <v>0</v>
      </c>
      <c r="DI30" s="36"/>
      <c r="DJ30" s="36"/>
      <c r="DK30" s="36"/>
      <c r="DL30" s="36"/>
      <c r="DM30" s="36"/>
      <c r="DN30" s="36"/>
      <c r="DO30" s="47"/>
      <c r="DP30" s="36">
        <f t="shared" si="3"/>
        <v>94160</v>
      </c>
      <c r="DQ30" s="36">
        <f t="shared" si="19"/>
        <v>13268</v>
      </c>
      <c r="DR30" s="36">
        <f t="shared" si="36"/>
        <v>0</v>
      </c>
      <c r="DS30" s="36">
        <f t="shared" si="51"/>
        <v>0</v>
      </c>
      <c r="DT30" s="36">
        <f t="shared" si="64"/>
        <v>0</v>
      </c>
      <c r="DU30" s="36">
        <f aca="true" t="shared" si="77" ref="DU30:DU39">$D$30*$DB$30</f>
        <v>0</v>
      </c>
      <c r="DV30" s="36"/>
      <c r="DW30" s="36"/>
      <c r="DX30" s="36"/>
      <c r="DY30" s="36"/>
      <c r="DZ30" s="36"/>
      <c r="EA30" s="36"/>
      <c r="EB30" s="47"/>
      <c r="EC30" s="36">
        <f t="shared" si="4"/>
        <v>1194334</v>
      </c>
      <c r="ED30" s="36">
        <f t="shared" si="20"/>
        <v>151833</v>
      </c>
      <c r="EE30" s="36">
        <f t="shared" si="37"/>
        <v>0</v>
      </c>
      <c r="EF30" s="36">
        <f t="shared" si="52"/>
        <v>0</v>
      </c>
      <c r="EG30" s="36">
        <f t="shared" si="65"/>
        <v>0</v>
      </c>
      <c r="EH30" s="36">
        <f aca="true" t="shared" si="78" ref="EH30:EH39">$E$30*$DB$30</f>
        <v>0</v>
      </c>
      <c r="EI30" s="36"/>
      <c r="EJ30" s="36"/>
      <c r="EK30" s="36"/>
      <c r="EL30" s="36"/>
      <c r="EM30" s="36"/>
      <c r="EN30" s="36"/>
      <c r="EO30" s="47"/>
      <c r="EP30" s="36">
        <f t="shared" si="5"/>
        <v>398147</v>
      </c>
      <c r="EQ30" s="36">
        <f t="shared" si="21"/>
        <v>50611</v>
      </c>
      <c r="ER30" s="36">
        <f t="shared" si="38"/>
        <v>0</v>
      </c>
      <c r="ES30" s="36">
        <f t="shared" si="53"/>
        <v>0</v>
      </c>
      <c r="ET30" s="36">
        <f t="shared" si="66"/>
        <v>0</v>
      </c>
      <c r="EU30" s="36">
        <f aca="true" t="shared" si="79" ref="EU30:EU39">$F$30*$DB$30</f>
        <v>0</v>
      </c>
      <c r="EV30" s="36"/>
      <c r="EW30" s="36"/>
      <c r="EX30" s="36"/>
      <c r="EY30" s="36"/>
      <c r="EZ30" s="36"/>
      <c r="FA30" s="36"/>
      <c r="FB30" s="47"/>
      <c r="FC30" s="36">
        <f t="shared" si="6"/>
        <v>83032</v>
      </c>
      <c r="FD30" s="36">
        <f t="shared" si="22"/>
        <v>15132</v>
      </c>
      <c r="FE30" s="36">
        <f t="shared" si="39"/>
        <v>0</v>
      </c>
      <c r="FF30" s="36">
        <f t="shared" si="54"/>
        <v>0</v>
      </c>
      <c r="FG30" s="36">
        <f t="shared" si="67"/>
        <v>0</v>
      </c>
      <c r="FH30" s="36">
        <f aca="true" t="shared" si="80" ref="FH30:FH39">$G$30*$K$21</f>
        <v>0</v>
      </c>
      <c r="FI30" s="36"/>
      <c r="FJ30" s="36"/>
      <c r="FK30" s="36"/>
      <c r="FL30" s="36"/>
      <c r="FM30" s="36"/>
      <c r="FN30" s="36"/>
      <c r="FO30" s="47"/>
      <c r="FP30" s="36">
        <f t="shared" si="7"/>
        <v>27645</v>
      </c>
      <c r="FQ30" s="36">
        <f t="shared" si="23"/>
        <v>5044</v>
      </c>
      <c r="FR30" s="36">
        <f t="shared" si="40"/>
        <v>0</v>
      </c>
      <c r="FS30" s="36">
        <f t="shared" si="55"/>
        <v>0</v>
      </c>
      <c r="FT30" s="36">
        <f t="shared" si="68"/>
        <v>0</v>
      </c>
      <c r="FU30" s="36">
        <f aca="true" t="shared" si="81" ref="FU30:FU39">$H$30*$K$21</f>
        <v>0</v>
      </c>
      <c r="FV30" s="36"/>
      <c r="FW30" s="36"/>
      <c r="FX30" s="36"/>
      <c r="FY30" s="36"/>
      <c r="FZ30" s="36"/>
      <c r="GA30" s="36"/>
      <c r="GB30" s="47"/>
      <c r="GC30" s="36">
        <f t="shared" si="8"/>
        <v>87954</v>
      </c>
      <c r="GD30" s="36">
        <f t="shared" si="24"/>
        <v>11235</v>
      </c>
      <c r="GE30" s="36">
        <f t="shared" si="41"/>
        <v>0</v>
      </c>
      <c r="GF30" s="36">
        <f t="shared" si="56"/>
        <v>0</v>
      </c>
      <c r="GG30" s="36">
        <f t="shared" si="69"/>
        <v>0</v>
      </c>
      <c r="GH30" s="36">
        <f aca="true" t="shared" si="82" ref="GH30:GH39">$I$30*$DB$30</f>
        <v>0</v>
      </c>
      <c r="GI30" s="36"/>
      <c r="GJ30" s="36"/>
      <c r="GK30" s="36"/>
      <c r="GL30" s="36"/>
      <c r="GM30" s="36"/>
      <c r="GN30" s="36"/>
      <c r="GO30" s="47"/>
      <c r="GP30" s="36">
        <f>SUM(DC30:GO30)</f>
        <v>2393047</v>
      </c>
      <c r="GQ30" s="38">
        <f>GP30*(1+$E$11)^-11</f>
        <v>1399165.0187104319</v>
      </c>
      <c r="GR30" s="38">
        <f t="shared" si="25"/>
        <v>11961575.374999996</v>
      </c>
      <c r="GS30" s="52">
        <f t="shared" si="9"/>
        <v>6993685.386608833</v>
      </c>
      <c r="GT30" s="36"/>
    </row>
    <row r="31" spans="1:202" ht="15.75">
      <c r="A31" s="9">
        <v>2007</v>
      </c>
      <c r="B31" s="49">
        <v>2014</v>
      </c>
      <c r="C31" s="31">
        <v>389</v>
      </c>
      <c r="D31" s="31">
        <v>144</v>
      </c>
      <c r="E31" s="31">
        <v>1829</v>
      </c>
      <c r="F31" s="31">
        <v>610</v>
      </c>
      <c r="G31" s="31">
        <v>254</v>
      </c>
      <c r="H31" s="31">
        <v>85</v>
      </c>
      <c r="I31" s="31">
        <v>135</v>
      </c>
      <c r="J31" s="84">
        <f t="shared" si="10"/>
        <v>2913</v>
      </c>
      <c r="K31" s="86">
        <f t="shared" si="11"/>
        <v>3446</v>
      </c>
      <c r="L31" s="36">
        <f t="shared" si="26"/>
        <v>297.85</v>
      </c>
      <c r="M31" s="36">
        <f t="shared" si="0"/>
        <v>564134.375</v>
      </c>
      <c r="N31" s="36">
        <f t="shared" si="27"/>
        <v>82562.725</v>
      </c>
      <c r="O31" s="36">
        <f t="shared" si="42"/>
        <v>97099.1</v>
      </c>
      <c r="P31" s="36">
        <f t="shared" si="43"/>
        <v>101269.00000000001</v>
      </c>
      <c r="Q31" s="36">
        <f t="shared" si="70"/>
        <v>106034.6</v>
      </c>
      <c r="R31" s="36">
        <f aca="true" t="shared" si="83" ref="R31:R39">$C$30*$L$30</f>
        <v>110800.20000000001</v>
      </c>
      <c r="S31" s="36">
        <f>$C$31*$L$31</f>
        <v>115863.65000000001</v>
      </c>
      <c r="T31" s="36"/>
      <c r="U31" s="36"/>
      <c r="V31" s="36"/>
      <c r="W31" s="36"/>
      <c r="X31" s="36"/>
      <c r="Y31" s="47"/>
      <c r="Z31" s="36">
        <f t="shared" si="12"/>
        <v>233618.00000000003</v>
      </c>
      <c r="AA31" s="36">
        <f t="shared" si="28"/>
        <v>32918.9</v>
      </c>
      <c r="AB31" s="36">
        <f t="shared" si="44"/>
        <v>38124.8</v>
      </c>
      <c r="AC31" s="36">
        <f t="shared" si="57"/>
        <v>39316.200000000004</v>
      </c>
      <c r="AD31" s="36">
        <f t="shared" si="71"/>
        <v>40507.600000000006</v>
      </c>
      <c r="AE31" s="36">
        <f aca="true" t="shared" si="84" ref="AE31:AE39">$D$30*$L$30</f>
        <v>41699</v>
      </c>
      <c r="AF31" s="36">
        <f>$D$31*$L$31</f>
        <v>42890.4</v>
      </c>
      <c r="AG31" s="36"/>
      <c r="AH31" s="36"/>
      <c r="AI31" s="36"/>
      <c r="AJ31" s="36"/>
      <c r="AK31" s="36"/>
      <c r="AL31" s="47"/>
      <c r="AM31" s="36">
        <f t="shared" si="13"/>
        <v>2963231.95</v>
      </c>
      <c r="AN31" s="36">
        <f t="shared" si="29"/>
        <v>376709.025</v>
      </c>
      <c r="AO31" s="36">
        <f t="shared" si="45"/>
        <v>444690.05000000005</v>
      </c>
      <c r="AP31" s="36">
        <f t="shared" si="58"/>
        <v>467922.35000000003</v>
      </c>
      <c r="AQ31" s="36">
        <f t="shared" si="72"/>
        <v>492048.2</v>
      </c>
      <c r="AR31" s="36">
        <f aca="true" t="shared" si="85" ref="AR31:AR39">$E$30*$L$30</f>
        <v>517663.30000000005</v>
      </c>
      <c r="AS31" s="36">
        <f>$E$31*$L$31</f>
        <v>544767.65</v>
      </c>
      <c r="AT31" s="36"/>
      <c r="AU31" s="36"/>
      <c r="AV31" s="36"/>
      <c r="AW31" s="36"/>
      <c r="AX31" s="36"/>
      <c r="AY31" s="47"/>
      <c r="AZ31" s="36">
        <f t="shared" si="14"/>
        <v>987832.4750000001</v>
      </c>
      <c r="BA31" s="36">
        <f t="shared" si="30"/>
        <v>125569.67500000002</v>
      </c>
      <c r="BB31" s="36">
        <f t="shared" si="46"/>
        <v>148329.30000000002</v>
      </c>
      <c r="BC31" s="36">
        <f t="shared" si="59"/>
        <v>156073.40000000002</v>
      </c>
      <c r="BD31" s="36">
        <f t="shared" si="73"/>
        <v>164115.35</v>
      </c>
      <c r="BE31" s="36">
        <f aca="true" t="shared" si="86" ref="BE31:BE39">$F$30*$L$30</f>
        <v>172455.15000000002</v>
      </c>
      <c r="BF31" s="36">
        <f>$F$31*$L$31</f>
        <v>181688.5</v>
      </c>
      <c r="BG31" s="36"/>
      <c r="BH31" s="36"/>
      <c r="BI31" s="36"/>
      <c r="BJ31" s="36"/>
      <c r="BK31" s="36"/>
      <c r="BL31" s="47"/>
      <c r="BM31" s="36">
        <f t="shared" si="15"/>
        <v>227246.6</v>
      </c>
      <c r="BN31" s="36">
        <f t="shared" si="31"/>
        <v>41414.100000000006</v>
      </c>
      <c r="BO31" s="36">
        <f t="shared" si="47"/>
        <v>51230.200000000004</v>
      </c>
      <c r="BP31" s="36">
        <f t="shared" si="60"/>
        <v>56293.65</v>
      </c>
      <c r="BQ31" s="36">
        <f t="shared" si="74"/>
        <v>62250.65</v>
      </c>
      <c r="BR31" s="36">
        <f aca="true" t="shared" si="87" ref="BR31:BR39">$G$30*$L$30</f>
        <v>68505.5</v>
      </c>
      <c r="BS31" s="36">
        <f>$G$31*$L$31</f>
        <v>75653.90000000001</v>
      </c>
      <c r="BT31" s="36"/>
      <c r="BU31" s="36"/>
      <c r="BV31" s="36"/>
      <c r="BW31" s="36"/>
      <c r="BX31" s="36"/>
      <c r="BY31" s="47"/>
      <c r="BZ31" s="36">
        <f t="shared" si="16"/>
        <v>75660.375</v>
      </c>
      <c r="CA31" s="36">
        <f t="shared" si="32"/>
        <v>13804.7</v>
      </c>
      <c r="CB31" s="36">
        <f t="shared" si="48"/>
        <v>16977.45</v>
      </c>
      <c r="CC31" s="36">
        <f t="shared" si="61"/>
        <v>18764.550000000003</v>
      </c>
      <c r="CD31" s="36">
        <f t="shared" si="75"/>
        <v>20849.5</v>
      </c>
      <c r="CE31" s="36">
        <f aca="true" t="shared" si="88" ref="CE31:CE39">$H$30*$L$30</f>
        <v>22934.45</v>
      </c>
      <c r="CF31" s="36">
        <f>$H$31*$L$31</f>
        <v>25317.250000000004</v>
      </c>
      <c r="CG31" s="36"/>
      <c r="CH31" s="36"/>
      <c r="CI31" s="36"/>
      <c r="CJ31" s="36"/>
      <c r="CK31" s="36"/>
      <c r="CL31" s="47"/>
      <c r="CM31" s="36">
        <f t="shared" si="17"/>
        <v>218220.45</v>
      </c>
      <c r="CN31" s="36">
        <f t="shared" si="33"/>
        <v>27874.875000000004</v>
      </c>
      <c r="CO31" s="36">
        <f t="shared" si="49"/>
        <v>32763.500000000004</v>
      </c>
      <c r="CP31" s="36">
        <f t="shared" si="62"/>
        <v>34550.600000000006</v>
      </c>
      <c r="CQ31" s="36">
        <f aca="true" t="shared" si="89" ref="CQ31:CQ38">$I$29*$L$29</f>
        <v>36337.700000000004</v>
      </c>
      <c r="CR31" s="36">
        <f aca="true" t="shared" si="90" ref="CR31:CR39">$I$30*$L$30</f>
        <v>38124.8</v>
      </c>
      <c r="CS31" s="36">
        <f>$I$31*$L$31</f>
        <v>40209.75</v>
      </c>
      <c r="CT31" s="36"/>
      <c r="CU31" s="36"/>
      <c r="CV31" s="36"/>
      <c r="CW31" s="36"/>
      <c r="CX31" s="36"/>
      <c r="CY31" s="36"/>
      <c r="CZ31" s="36">
        <f t="shared" si="1"/>
        <v>10594919.475</v>
      </c>
      <c r="DA31" s="38">
        <f>CZ31*(1+$E$10)^-12</f>
        <v>5899647.606258144</v>
      </c>
      <c r="DB31" s="78">
        <f t="shared" si="34"/>
        <v>0</v>
      </c>
      <c r="DC31" s="36">
        <f t="shared" si="2"/>
        <v>227375</v>
      </c>
      <c r="DD31" s="36">
        <f t="shared" si="18"/>
        <v>33277</v>
      </c>
      <c r="DE31" s="36">
        <f t="shared" si="35"/>
        <v>0</v>
      </c>
      <c r="DF31" s="36">
        <f t="shared" si="50"/>
        <v>0</v>
      </c>
      <c r="DG31" s="36">
        <f t="shared" si="63"/>
        <v>0</v>
      </c>
      <c r="DH31" s="36">
        <f t="shared" si="76"/>
        <v>0</v>
      </c>
      <c r="DI31" s="36">
        <f aca="true" t="shared" si="91" ref="DI31:DI40">$C$31*$DB$31</f>
        <v>0</v>
      </c>
      <c r="DJ31" s="36"/>
      <c r="DK31" s="36"/>
      <c r="DL31" s="36"/>
      <c r="DM31" s="36"/>
      <c r="DN31" s="36"/>
      <c r="DO31" s="47"/>
      <c r="DP31" s="36">
        <f t="shared" si="3"/>
        <v>94160</v>
      </c>
      <c r="DQ31" s="36">
        <f t="shared" si="19"/>
        <v>13268</v>
      </c>
      <c r="DR31" s="36">
        <f t="shared" si="36"/>
        <v>0</v>
      </c>
      <c r="DS31" s="36">
        <f t="shared" si="51"/>
        <v>0</v>
      </c>
      <c r="DT31" s="36">
        <f t="shared" si="64"/>
        <v>0</v>
      </c>
      <c r="DU31" s="36">
        <f t="shared" si="77"/>
        <v>0</v>
      </c>
      <c r="DV31" s="36">
        <f aca="true" t="shared" si="92" ref="DV31:DV40">$D$31*$DB$31</f>
        <v>0</v>
      </c>
      <c r="DW31" s="36"/>
      <c r="DX31" s="36"/>
      <c r="DY31" s="36"/>
      <c r="DZ31" s="36"/>
      <c r="EA31" s="36"/>
      <c r="EB31" s="47"/>
      <c r="EC31" s="36">
        <f t="shared" si="4"/>
        <v>1194334</v>
      </c>
      <c r="ED31" s="36">
        <f t="shared" si="20"/>
        <v>151833</v>
      </c>
      <c r="EE31" s="36">
        <f t="shared" si="37"/>
        <v>0</v>
      </c>
      <c r="EF31" s="36">
        <f t="shared" si="52"/>
        <v>0</v>
      </c>
      <c r="EG31" s="36">
        <f t="shared" si="65"/>
        <v>0</v>
      </c>
      <c r="EH31" s="36">
        <f t="shared" si="78"/>
        <v>0</v>
      </c>
      <c r="EI31" s="36">
        <f aca="true" t="shared" si="93" ref="EI31:EI40">$E$31*$DB$31</f>
        <v>0</v>
      </c>
      <c r="EJ31" s="36"/>
      <c r="EK31" s="36"/>
      <c r="EL31" s="36"/>
      <c r="EM31" s="36"/>
      <c r="EN31" s="36"/>
      <c r="EO31" s="47"/>
      <c r="EP31" s="36">
        <f t="shared" si="5"/>
        <v>398147</v>
      </c>
      <c r="EQ31" s="36">
        <f t="shared" si="21"/>
        <v>50611</v>
      </c>
      <c r="ER31" s="36">
        <f t="shared" si="38"/>
        <v>0</v>
      </c>
      <c r="ES31" s="36">
        <f t="shared" si="53"/>
        <v>0</v>
      </c>
      <c r="ET31" s="36">
        <f t="shared" si="66"/>
        <v>0</v>
      </c>
      <c r="EU31" s="36">
        <f t="shared" si="79"/>
        <v>0</v>
      </c>
      <c r="EV31" s="36">
        <f aca="true" t="shared" si="94" ref="EV31:EV40">$F$31*$DB$31</f>
        <v>0</v>
      </c>
      <c r="EW31" s="36"/>
      <c r="EX31" s="36"/>
      <c r="EY31" s="36"/>
      <c r="EZ31" s="36"/>
      <c r="FA31" s="36"/>
      <c r="FB31" s="47"/>
      <c r="FC31" s="36">
        <f t="shared" si="6"/>
        <v>83032</v>
      </c>
      <c r="FD31" s="36">
        <f t="shared" si="22"/>
        <v>15132</v>
      </c>
      <c r="FE31" s="36">
        <f t="shared" si="39"/>
        <v>0</v>
      </c>
      <c r="FF31" s="36">
        <f t="shared" si="54"/>
        <v>0</v>
      </c>
      <c r="FG31" s="36">
        <f t="shared" si="67"/>
        <v>0</v>
      </c>
      <c r="FH31" s="36">
        <f t="shared" si="80"/>
        <v>0</v>
      </c>
      <c r="FI31" s="36">
        <f aca="true" t="shared" si="95" ref="FI31:FI40">$G$31*$K$21</f>
        <v>0</v>
      </c>
      <c r="FJ31" s="36"/>
      <c r="FK31" s="36"/>
      <c r="FL31" s="36"/>
      <c r="FM31" s="36"/>
      <c r="FN31" s="36"/>
      <c r="FO31" s="47"/>
      <c r="FP31" s="36">
        <f t="shared" si="7"/>
        <v>27645</v>
      </c>
      <c r="FQ31" s="36">
        <f t="shared" si="23"/>
        <v>5044</v>
      </c>
      <c r="FR31" s="36">
        <f t="shared" si="40"/>
        <v>0</v>
      </c>
      <c r="FS31" s="36">
        <f t="shared" si="55"/>
        <v>0</v>
      </c>
      <c r="FT31" s="36">
        <f t="shared" si="68"/>
        <v>0</v>
      </c>
      <c r="FU31" s="36">
        <f t="shared" si="81"/>
        <v>0</v>
      </c>
      <c r="FV31" s="36">
        <f aca="true" t="shared" si="96" ref="FV31:FV40">$H$31*$K$21</f>
        <v>0</v>
      </c>
      <c r="FW31" s="36"/>
      <c r="FX31" s="36"/>
      <c r="FY31" s="36"/>
      <c r="FZ31" s="36"/>
      <c r="GA31" s="36"/>
      <c r="GB31" s="47"/>
      <c r="GC31" s="36">
        <f t="shared" si="8"/>
        <v>87954</v>
      </c>
      <c r="GD31" s="36">
        <f t="shared" si="24"/>
        <v>11235</v>
      </c>
      <c r="GE31" s="36">
        <f t="shared" si="41"/>
        <v>0</v>
      </c>
      <c r="GF31" s="36">
        <f t="shared" si="56"/>
        <v>0</v>
      </c>
      <c r="GG31" s="36">
        <f t="shared" si="69"/>
        <v>0</v>
      </c>
      <c r="GH31" s="36">
        <f t="shared" si="82"/>
        <v>0</v>
      </c>
      <c r="GI31" s="36">
        <f aca="true" t="shared" si="97" ref="GI31:GI40">$I$31*$DB$31</f>
        <v>0</v>
      </c>
      <c r="GJ31" s="36"/>
      <c r="GK31" s="36"/>
      <c r="GL31" s="36"/>
      <c r="GM31" s="36"/>
      <c r="GN31" s="36"/>
      <c r="GO31" s="47"/>
      <c r="GP31" s="36">
        <f>SUM(DC31:GO31)</f>
        <v>2393047</v>
      </c>
      <c r="GQ31" s="38">
        <f>GP31*(1+$E$11)^-12</f>
        <v>1332538.1130575542</v>
      </c>
      <c r="GR31" s="38">
        <f t="shared" si="25"/>
        <v>12987966.475</v>
      </c>
      <c r="GS31" s="52">
        <f t="shared" si="9"/>
        <v>7232185.719315698</v>
      </c>
      <c r="GT31" s="36"/>
    </row>
    <row r="32" spans="1:202" ht="15.75">
      <c r="A32" s="9">
        <v>2008</v>
      </c>
      <c r="B32" s="49">
        <v>2015</v>
      </c>
      <c r="C32" s="31">
        <v>407</v>
      </c>
      <c r="D32" s="31">
        <v>148</v>
      </c>
      <c r="E32" s="31">
        <v>1924</v>
      </c>
      <c r="F32" s="31">
        <v>641</v>
      </c>
      <c r="G32" s="31">
        <v>279</v>
      </c>
      <c r="H32" s="31">
        <v>93</v>
      </c>
      <c r="I32" s="31">
        <v>142</v>
      </c>
      <c r="J32" s="84">
        <f t="shared" si="10"/>
        <v>3079</v>
      </c>
      <c r="K32" s="86">
        <f t="shared" si="11"/>
        <v>3634</v>
      </c>
      <c r="L32" s="36">
        <f t="shared" si="26"/>
        <v>297.85</v>
      </c>
      <c r="M32" s="36">
        <f t="shared" si="0"/>
        <v>564134.375</v>
      </c>
      <c r="N32" s="36">
        <f t="shared" si="27"/>
        <v>82562.725</v>
      </c>
      <c r="O32" s="36">
        <f t="shared" si="42"/>
        <v>97099.1</v>
      </c>
      <c r="P32" s="36">
        <f t="shared" si="43"/>
        <v>101269.00000000001</v>
      </c>
      <c r="Q32" s="36">
        <f t="shared" si="70"/>
        <v>106034.6</v>
      </c>
      <c r="R32" s="36">
        <f t="shared" si="83"/>
        <v>110800.20000000001</v>
      </c>
      <c r="S32" s="36">
        <f aca="true" t="shared" si="98" ref="S32:S40">$C$31*$L$31</f>
        <v>115863.65000000001</v>
      </c>
      <c r="T32" s="36">
        <f>$C$32*$L$32</f>
        <v>121224.95000000001</v>
      </c>
      <c r="U32" s="36"/>
      <c r="V32" s="36"/>
      <c r="W32" s="36"/>
      <c r="X32" s="36"/>
      <c r="Y32" s="47"/>
      <c r="Z32" s="36">
        <f t="shared" si="12"/>
        <v>233618.00000000003</v>
      </c>
      <c r="AA32" s="36">
        <f t="shared" si="28"/>
        <v>32918.9</v>
      </c>
      <c r="AB32" s="36">
        <f t="shared" si="44"/>
        <v>38124.8</v>
      </c>
      <c r="AC32" s="36">
        <f t="shared" si="57"/>
        <v>39316.200000000004</v>
      </c>
      <c r="AD32" s="36">
        <f t="shared" si="71"/>
        <v>40507.600000000006</v>
      </c>
      <c r="AE32" s="36">
        <f t="shared" si="84"/>
        <v>41699</v>
      </c>
      <c r="AF32" s="36">
        <f aca="true" t="shared" si="99" ref="AF32:AF40">$D$31*$L$31</f>
        <v>42890.4</v>
      </c>
      <c r="AG32" s="36">
        <f>$D$32*$L$32</f>
        <v>44081.8</v>
      </c>
      <c r="AH32" s="36"/>
      <c r="AI32" s="36"/>
      <c r="AJ32" s="36"/>
      <c r="AK32" s="36"/>
      <c r="AL32" s="47"/>
      <c r="AM32" s="36">
        <f t="shared" si="13"/>
        <v>2963231.95</v>
      </c>
      <c r="AN32" s="36">
        <f t="shared" si="29"/>
        <v>376709.025</v>
      </c>
      <c r="AO32" s="36">
        <f t="shared" si="45"/>
        <v>444690.05000000005</v>
      </c>
      <c r="AP32" s="36">
        <f t="shared" si="58"/>
        <v>467922.35000000003</v>
      </c>
      <c r="AQ32" s="36">
        <f t="shared" si="72"/>
        <v>492048.2</v>
      </c>
      <c r="AR32" s="36">
        <f t="shared" si="85"/>
        <v>517663.30000000005</v>
      </c>
      <c r="AS32" s="36">
        <f aca="true" t="shared" si="100" ref="AS32:AS40">$E$31*$L$31</f>
        <v>544767.65</v>
      </c>
      <c r="AT32" s="36">
        <f>$E$32*$L$32</f>
        <v>573063.4</v>
      </c>
      <c r="AU32" s="36"/>
      <c r="AV32" s="36"/>
      <c r="AW32" s="36"/>
      <c r="AX32" s="36"/>
      <c r="AY32" s="47"/>
      <c r="AZ32" s="36">
        <f t="shared" si="14"/>
        <v>987832.4750000001</v>
      </c>
      <c r="BA32" s="36">
        <f t="shared" si="30"/>
        <v>125569.67500000002</v>
      </c>
      <c r="BB32" s="36">
        <f t="shared" si="46"/>
        <v>148329.30000000002</v>
      </c>
      <c r="BC32" s="36">
        <f t="shared" si="59"/>
        <v>156073.40000000002</v>
      </c>
      <c r="BD32" s="36">
        <f t="shared" si="73"/>
        <v>164115.35</v>
      </c>
      <c r="BE32" s="36">
        <f t="shared" si="86"/>
        <v>172455.15000000002</v>
      </c>
      <c r="BF32" s="36">
        <f aca="true" t="shared" si="101" ref="BF32:BF40">$F$31*$L$31</f>
        <v>181688.5</v>
      </c>
      <c r="BG32" s="36">
        <f>$F$32*$L$32</f>
        <v>190921.85</v>
      </c>
      <c r="BH32" s="36"/>
      <c r="BI32" s="36"/>
      <c r="BJ32" s="36"/>
      <c r="BK32" s="36"/>
      <c r="BL32" s="47"/>
      <c r="BM32" s="36">
        <f t="shared" si="15"/>
        <v>227246.6</v>
      </c>
      <c r="BN32" s="36">
        <f t="shared" si="31"/>
        <v>41414.100000000006</v>
      </c>
      <c r="BO32" s="36">
        <f t="shared" si="47"/>
        <v>51230.200000000004</v>
      </c>
      <c r="BP32" s="36">
        <f t="shared" si="60"/>
        <v>56293.65</v>
      </c>
      <c r="BQ32" s="36">
        <f t="shared" si="74"/>
        <v>62250.65</v>
      </c>
      <c r="BR32" s="36">
        <f t="shared" si="87"/>
        <v>68505.5</v>
      </c>
      <c r="BS32" s="36">
        <f aca="true" t="shared" si="102" ref="BS32:BS40">$G$31*$L$31</f>
        <v>75653.90000000001</v>
      </c>
      <c r="BT32" s="36">
        <f>$G$32*$L$32</f>
        <v>83100.15000000001</v>
      </c>
      <c r="BU32" s="36"/>
      <c r="BV32" s="36"/>
      <c r="BW32" s="36"/>
      <c r="BX32" s="36"/>
      <c r="BY32" s="47"/>
      <c r="BZ32" s="36">
        <f t="shared" si="16"/>
        <v>75660.375</v>
      </c>
      <c r="CA32" s="36">
        <f t="shared" si="32"/>
        <v>13804.7</v>
      </c>
      <c r="CB32" s="36">
        <f t="shared" si="48"/>
        <v>16977.45</v>
      </c>
      <c r="CC32" s="36">
        <f t="shared" si="61"/>
        <v>18764.550000000003</v>
      </c>
      <c r="CD32" s="36">
        <f t="shared" si="75"/>
        <v>20849.5</v>
      </c>
      <c r="CE32" s="36">
        <f t="shared" si="88"/>
        <v>22934.45</v>
      </c>
      <c r="CF32" s="36">
        <f aca="true" t="shared" si="103" ref="CF32:CF40">$H$31*$L$31</f>
        <v>25317.250000000004</v>
      </c>
      <c r="CG32" s="36">
        <f>$H$32*$L$32</f>
        <v>27700.050000000003</v>
      </c>
      <c r="CH32" s="36"/>
      <c r="CI32" s="36"/>
      <c r="CJ32" s="36"/>
      <c r="CK32" s="36"/>
      <c r="CL32" s="47"/>
      <c r="CM32" s="36">
        <f t="shared" si="17"/>
        <v>218220.45</v>
      </c>
      <c r="CN32" s="36">
        <f t="shared" si="33"/>
        <v>27874.875000000004</v>
      </c>
      <c r="CO32" s="36">
        <f t="shared" si="49"/>
        <v>32763.500000000004</v>
      </c>
      <c r="CP32" s="36">
        <f t="shared" si="62"/>
        <v>34550.600000000006</v>
      </c>
      <c r="CQ32" s="36">
        <f t="shared" si="89"/>
        <v>36337.700000000004</v>
      </c>
      <c r="CR32" s="36">
        <f t="shared" si="90"/>
        <v>38124.8</v>
      </c>
      <c r="CS32" s="36">
        <f aca="true" t="shared" si="104" ref="CS32:CS40">$I$31*$L$31</f>
        <v>40209.75</v>
      </c>
      <c r="CT32" s="36">
        <f>$I$32*$L$32</f>
        <v>42294.700000000004</v>
      </c>
      <c r="CU32" s="36"/>
      <c r="CV32" s="36"/>
      <c r="CW32" s="36"/>
      <c r="CX32" s="36"/>
      <c r="CY32" s="36"/>
      <c r="CZ32" s="36">
        <f t="shared" si="1"/>
        <v>11677306.375</v>
      </c>
      <c r="DA32" s="38">
        <f>CZ32*(1+$E$10)^-13</f>
        <v>6192724.888688909</v>
      </c>
      <c r="DB32" s="78">
        <f t="shared" si="34"/>
        <v>0</v>
      </c>
      <c r="DC32" s="36">
        <f t="shared" si="2"/>
        <v>227375</v>
      </c>
      <c r="DD32" s="36">
        <f t="shared" si="18"/>
        <v>33277</v>
      </c>
      <c r="DE32" s="36">
        <f t="shared" si="35"/>
        <v>0</v>
      </c>
      <c r="DF32" s="36">
        <f t="shared" si="50"/>
        <v>0</v>
      </c>
      <c r="DG32" s="36">
        <f t="shared" si="63"/>
        <v>0</v>
      </c>
      <c r="DH32" s="36">
        <f t="shared" si="76"/>
        <v>0</v>
      </c>
      <c r="DI32" s="36">
        <f t="shared" si="91"/>
        <v>0</v>
      </c>
      <c r="DJ32" s="36">
        <f aca="true" t="shared" si="105" ref="DJ32:DJ41">$C$32*$DB$32</f>
        <v>0</v>
      </c>
      <c r="DK32" s="36"/>
      <c r="DL32" s="36"/>
      <c r="DM32" s="36"/>
      <c r="DN32" s="36"/>
      <c r="DO32" s="47"/>
      <c r="DP32" s="36">
        <f t="shared" si="3"/>
        <v>94160</v>
      </c>
      <c r="DQ32" s="36">
        <f t="shared" si="19"/>
        <v>13268</v>
      </c>
      <c r="DR32" s="36">
        <f t="shared" si="36"/>
        <v>0</v>
      </c>
      <c r="DS32" s="36">
        <f t="shared" si="51"/>
        <v>0</v>
      </c>
      <c r="DT32" s="36">
        <f t="shared" si="64"/>
        <v>0</v>
      </c>
      <c r="DU32" s="36">
        <f t="shared" si="77"/>
        <v>0</v>
      </c>
      <c r="DV32" s="36">
        <f t="shared" si="92"/>
        <v>0</v>
      </c>
      <c r="DW32" s="36">
        <f aca="true" t="shared" si="106" ref="DW32:DW41">$D$32*$DB$32</f>
        <v>0</v>
      </c>
      <c r="DX32" s="36"/>
      <c r="DY32" s="36"/>
      <c r="DZ32" s="36"/>
      <c r="EA32" s="36"/>
      <c r="EB32" s="47"/>
      <c r="EC32" s="36">
        <f t="shared" si="4"/>
        <v>1194334</v>
      </c>
      <c r="ED32" s="36">
        <f t="shared" si="20"/>
        <v>151833</v>
      </c>
      <c r="EE32" s="36">
        <f t="shared" si="37"/>
        <v>0</v>
      </c>
      <c r="EF32" s="36">
        <f t="shared" si="52"/>
        <v>0</v>
      </c>
      <c r="EG32" s="36">
        <f t="shared" si="65"/>
        <v>0</v>
      </c>
      <c r="EH32" s="36">
        <f t="shared" si="78"/>
        <v>0</v>
      </c>
      <c r="EI32" s="36">
        <f t="shared" si="93"/>
        <v>0</v>
      </c>
      <c r="EJ32" s="36">
        <f aca="true" t="shared" si="107" ref="EJ32:EJ41">$E$32*$DB$32</f>
        <v>0</v>
      </c>
      <c r="EK32" s="36"/>
      <c r="EL32" s="36"/>
      <c r="EM32" s="36"/>
      <c r="EN32" s="36"/>
      <c r="EO32" s="47"/>
      <c r="EP32" s="36">
        <f t="shared" si="5"/>
        <v>398147</v>
      </c>
      <c r="EQ32" s="36">
        <f t="shared" si="21"/>
        <v>50611</v>
      </c>
      <c r="ER32" s="36">
        <f t="shared" si="38"/>
        <v>0</v>
      </c>
      <c r="ES32" s="36">
        <f t="shared" si="53"/>
        <v>0</v>
      </c>
      <c r="ET32" s="36">
        <f t="shared" si="66"/>
        <v>0</v>
      </c>
      <c r="EU32" s="36">
        <f t="shared" si="79"/>
        <v>0</v>
      </c>
      <c r="EV32" s="36">
        <f t="shared" si="94"/>
        <v>0</v>
      </c>
      <c r="EW32" s="36">
        <f aca="true" t="shared" si="108" ref="EW32:EW41">$F$32*$DB$32</f>
        <v>0</v>
      </c>
      <c r="EX32" s="36"/>
      <c r="EY32" s="36"/>
      <c r="EZ32" s="36"/>
      <c r="FA32" s="36"/>
      <c r="FB32" s="47"/>
      <c r="FC32" s="36">
        <f t="shared" si="6"/>
        <v>83032</v>
      </c>
      <c r="FD32" s="36">
        <f t="shared" si="22"/>
        <v>15132</v>
      </c>
      <c r="FE32" s="36">
        <f t="shared" si="39"/>
        <v>0</v>
      </c>
      <c r="FF32" s="36">
        <f t="shared" si="54"/>
        <v>0</v>
      </c>
      <c r="FG32" s="36">
        <f t="shared" si="67"/>
        <v>0</v>
      </c>
      <c r="FH32" s="36">
        <f t="shared" si="80"/>
        <v>0</v>
      </c>
      <c r="FI32" s="36">
        <f t="shared" si="95"/>
        <v>0</v>
      </c>
      <c r="FJ32" s="36">
        <f aca="true" t="shared" si="109" ref="FJ32:FJ41">$G$32*$K$21</f>
        <v>0</v>
      </c>
      <c r="FK32" s="36"/>
      <c r="FL32" s="36"/>
      <c r="FM32" s="36"/>
      <c r="FN32" s="36"/>
      <c r="FO32" s="47"/>
      <c r="FP32" s="36">
        <f t="shared" si="7"/>
        <v>27645</v>
      </c>
      <c r="FQ32" s="36">
        <f t="shared" si="23"/>
        <v>5044</v>
      </c>
      <c r="FR32" s="36">
        <f t="shared" si="40"/>
        <v>0</v>
      </c>
      <c r="FS32" s="36">
        <f t="shared" si="55"/>
        <v>0</v>
      </c>
      <c r="FT32" s="36">
        <f t="shared" si="68"/>
        <v>0</v>
      </c>
      <c r="FU32" s="36">
        <f t="shared" si="81"/>
        <v>0</v>
      </c>
      <c r="FV32" s="36">
        <f t="shared" si="96"/>
        <v>0</v>
      </c>
      <c r="FW32" s="36">
        <f aca="true" t="shared" si="110" ref="FW32:FW41">$H$32*$K$21</f>
        <v>0</v>
      </c>
      <c r="FX32" s="36"/>
      <c r="FY32" s="36"/>
      <c r="FZ32" s="36"/>
      <c r="GA32" s="36"/>
      <c r="GB32" s="47"/>
      <c r="GC32" s="36">
        <f t="shared" si="8"/>
        <v>87954</v>
      </c>
      <c r="GD32" s="36">
        <f t="shared" si="24"/>
        <v>11235</v>
      </c>
      <c r="GE32" s="36">
        <f t="shared" si="41"/>
        <v>0</v>
      </c>
      <c r="GF32" s="36">
        <f t="shared" si="56"/>
        <v>0</v>
      </c>
      <c r="GG32" s="36">
        <f t="shared" si="69"/>
        <v>0</v>
      </c>
      <c r="GH32" s="36">
        <f t="shared" si="82"/>
        <v>0</v>
      </c>
      <c r="GI32" s="36">
        <f t="shared" si="97"/>
        <v>0</v>
      </c>
      <c r="GJ32" s="36">
        <f aca="true" t="shared" si="111" ref="GJ32:GJ41">$I$32*$DB$32</f>
        <v>0</v>
      </c>
      <c r="GK32" s="36"/>
      <c r="GL32" s="36"/>
      <c r="GM32" s="36"/>
      <c r="GN32" s="36"/>
      <c r="GO32" s="47"/>
      <c r="GP32" s="36">
        <f>SUM(DC32:GO32)</f>
        <v>2393047</v>
      </c>
      <c r="GQ32" s="38">
        <f>GP32*(1+$E$11)^-13</f>
        <v>1269083.9171976703</v>
      </c>
      <c r="GR32" s="38">
        <f t="shared" si="25"/>
        <v>14070353.375</v>
      </c>
      <c r="GS32" s="52">
        <f t="shared" si="9"/>
        <v>7461808.80588658</v>
      </c>
      <c r="GT32" s="36"/>
    </row>
    <row r="33" spans="1:202" ht="15.75">
      <c r="A33" s="9">
        <v>2009</v>
      </c>
      <c r="B33" s="49">
        <v>2016</v>
      </c>
      <c r="C33" s="31">
        <v>426</v>
      </c>
      <c r="D33" s="31">
        <v>153</v>
      </c>
      <c r="E33" s="31">
        <v>2024</v>
      </c>
      <c r="F33" s="31">
        <v>675</v>
      </c>
      <c r="G33" s="31">
        <v>308</v>
      </c>
      <c r="H33" s="31">
        <v>103</v>
      </c>
      <c r="I33" s="31">
        <v>149</v>
      </c>
      <c r="J33" s="84">
        <f t="shared" si="10"/>
        <v>3259</v>
      </c>
      <c r="K33" s="86">
        <f t="shared" si="11"/>
        <v>3838</v>
      </c>
      <c r="L33" s="36">
        <f t="shared" si="26"/>
        <v>297.85</v>
      </c>
      <c r="M33" s="36">
        <f t="shared" si="0"/>
        <v>564134.375</v>
      </c>
      <c r="N33" s="36">
        <f t="shared" si="27"/>
        <v>82562.725</v>
      </c>
      <c r="O33" s="36">
        <f t="shared" si="42"/>
        <v>97099.1</v>
      </c>
      <c r="P33" s="36">
        <f t="shared" si="43"/>
        <v>101269.00000000001</v>
      </c>
      <c r="Q33" s="36">
        <f t="shared" si="70"/>
        <v>106034.6</v>
      </c>
      <c r="R33" s="36">
        <f t="shared" si="83"/>
        <v>110800.20000000001</v>
      </c>
      <c r="S33" s="36">
        <f t="shared" si="98"/>
        <v>115863.65000000001</v>
      </c>
      <c r="T33" s="36">
        <f aca="true" t="shared" si="112" ref="T33:T41">$C$32*$L$32</f>
        <v>121224.95000000001</v>
      </c>
      <c r="U33" s="36">
        <f>$C$33*$L$33</f>
        <v>126884.1</v>
      </c>
      <c r="V33" s="36"/>
      <c r="W33" s="36"/>
      <c r="X33" s="36"/>
      <c r="Y33" s="47"/>
      <c r="Z33" s="36">
        <f t="shared" si="12"/>
        <v>233618.00000000003</v>
      </c>
      <c r="AA33" s="36">
        <f t="shared" si="28"/>
        <v>32918.9</v>
      </c>
      <c r="AB33" s="36">
        <f t="shared" si="44"/>
        <v>38124.8</v>
      </c>
      <c r="AC33" s="36">
        <f t="shared" si="57"/>
        <v>39316.200000000004</v>
      </c>
      <c r="AD33" s="36">
        <f t="shared" si="71"/>
        <v>40507.600000000006</v>
      </c>
      <c r="AE33" s="36">
        <f t="shared" si="84"/>
        <v>41699</v>
      </c>
      <c r="AF33" s="36">
        <f t="shared" si="99"/>
        <v>42890.4</v>
      </c>
      <c r="AG33" s="36">
        <f aca="true" t="shared" si="113" ref="AG33:AG41">$D$32*$L$32</f>
        <v>44081.8</v>
      </c>
      <c r="AH33" s="36">
        <f>$D$33*$L$33</f>
        <v>45571.05</v>
      </c>
      <c r="AI33" s="36"/>
      <c r="AJ33" s="36"/>
      <c r="AK33" s="36"/>
      <c r="AL33" s="47"/>
      <c r="AM33" s="36">
        <f t="shared" si="13"/>
        <v>2963231.95</v>
      </c>
      <c r="AN33" s="36">
        <f t="shared" si="29"/>
        <v>376709.025</v>
      </c>
      <c r="AO33" s="36">
        <f t="shared" si="45"/>
        <v>444690.05000000005</v>
      </c>
      <c r="AP33" s="36">
        <f t="shared" si="58"/>
        <v>467922.35000000003</v>
      </c>
      <c r="AQ33" s="36">
        <f t="shared" si="72"/>
        <v>492048.2</v>
      </c>
      <c r="AR33" s="36">
        <f t="shared" si="85"/>
        <v>517663.30000000005</v>
      </c>
      <c r="AS33" s="36">
        <f t="shared" si="100"/>
        <v>544767.65</v>
      </c>
      <c r="AT33" s="36">
        <f aca="true" t="shared" si="114" ref="AT33:AT41">$E$32*$L$32</f>
        <v>573063.4</v>
      </c>
      <c r="AU33" s="36">
        <f>$E$33*$L$33</f>
        <v>602848.4</v>
      </c>
      <c r="AV33" s="36"/>
      <c r="AW33" s="36"/>
      <c r="AX33" s="36"/>
      <c r="AY33" s="47"/>
      <c r="AZ33" s="36">
        <f t="shared" si="14"/>
        <v>987832.4750000001</v>
      </c>
      <c r="BA33" s="36">
        <f t="shared" si="30"/>
        <v>125569.67500000002</v>
      </c>
      <c r="BB33" s="36">
        <f t="shared" si="46"/>
        <v>148329.30000000002</v>
      </c>
      <c r="BC33" s="36">
        <f t="shared" si="59"/>
        <v>156073.40000000002</v>
      </c>
      <c r="BD33" s="36">
        <f t="shared" si="73"/>
        <v>164115.35</v>
      </c>
      <c r="BE33" s="36">
        <f t="shared" si="86"/>
        <v>172455.15000000002</v>
      </c>
      <c r="BF33" s="36">
        <f t="shared" si="101"/>
        <v>181688.5</v>
      </c>
      <c r="BG33" s="36">
        <f aca="true" t="shared" si="115" ref="BG33:BG41">$F$32*$L$32</f>
        <v>190921.85</v>
      </c>
      <c r="BH33" s="36">
        <f>$F$33*$L$33</f>
        <v>201048.75000000003</v>
      </c>
      <c r="BI33" s="36"/>
      <c r="BJ33" s="36"/>
      <c r="BK33" s="36"/>
      <c r="BL33" s="47"/>
      <c r="BM33" s="36">
        <f t="shared" si="15"/>
        <v>227246.6</v>
      </c>
      <c r="BN33" s="36">
        <f t="shared" si="31"/>
        <v>41414.100000000006</v>
      </c>
      <c r="BO33" s="36">
        <f t="shared" si="47"/>
        <v>51230.200000000004</v>
      </c>
      <c r="BP33" s="36">
        <f t="shared" si="60"/>
        <v>56293.65</v>
      </c>
      <c r="BQ33" s="36">
        <f t="shared" si="74"/>
        <v>62250.65</v>
      </c>
      <c r="BR33" s="36">
        <f t="shared" si="87"/>
        <v>68505.5</v>
      </c>
      <c r="BS33" s="36">
        <f t="shared" si="102"/>
        <v>75653.90000000001</v>
      </c>
      <c r="BT33" s="36">
        <f aca="true" t="shared" si="116" ref="BT33:BT41">$G$32*$L$32</f>
        <v>83100.15000000001</v>
      </c>
      <c r="BU33" s="36">
        <f>$G$33*$L$33</f>
        <v>91737.8</v>
      </c>
      <c r="BV33" s="36"/>
      <c r="BW33" s="36"/>
      <c r="BX33" s="36"/>
      <c r="BY33" s="47"/>
      <c r="BZ33" s="36">
        <f t="shared" si="16"/>
        <v>75660.375</v>
      </c>
      <c r="CA33" s="36">
        <f t="shared" si="32"/>
        <v>13804.7</v>
      </c>
      <c r="CB33" s="36">
        <f t="shared" si="48"/>
        <v>16977.45</v>
      </c>
      <c r="CC33" s="36">
        <f t="shared" si="61"/>
        <v>18764.550000000003</v>
      </c>
      <c r="CD33" s="36">
        <f t="shared" si="75"/>
        <v>20849.5</v>
      </c>
      <c r="CE33" s="36">
        <f t="shared" si="88"/>
        <v>22934.45</v>
      </c>
      <c r="CF33" s="36">
        <f t="shared" si="103"/>
        <v>25317.250000000004</v>
      </c>
      <c r="CG33" s="36">
        <f aca="true" t="shared" si="117" ref="CG33:CG41">$H$32*$L$32</f>
        <v>27700.050000000003</v>
      </c>
      <c r="CH33" s="36">
        <f>$H$33*$L$33</f>
        <v>30678.550000000003</v>
      </c>
      <c r="CI33" s="36"/>
      <c r="CJ33" s="36"/>
      <c r="CK33" s="36"/>
      <c r="CL33" s="47"/>
      <c r="CM33" s="36">
        <f t="shared" si="17"/>
        <v>218220.45</v>
      </c>
      <c r="CN33" s="36">
        <f t="shared" si="33"/>
        <v>27874.875000000004</v>
      </c>
      <c r="CO33" s="36">
        <f t="shared" si="49"/>
        <v>32763.500000000004</v>
      </c>
      <c r="CP33" s="36">
        <f t="shared" si="62"/>
        <v>34550.600000000006</v>
      </c>
      <c r="CQ33" s="36">
        <f t="shared" si="89"/>
        <v>36337.700000000004</v>
      </c>
      <c r="CR33" s="36">
        <f t="shared" si="90"/>
        <v>38124.8</v>
      </c>
      <c r="CS33" s="36">
        <f t="shared" si="104"/>
        <v>40209.75</v>
      </c>
      <c r="CT33" s="36">
        <f aca="true" t="shared" si="118" ref="CT33:CT41">$I$32*$L$32</f>
        <v>42294.700000000004</v>
      </c>
      <c r="CU33" s="36">
        <f>$I$33*$L$33</f>
        <v>44379.65</v>
      </c>
      <c r="CV33" s="36"/>
      <c r="CW33" s="36"/>
      <c r="CX33" s="36"/>
      <c r="CY33" s="36"/>
      <c r="CZ33" s="36">
        <f t="shared" si="1"/>
        <v>12820454.675</v>
      </c>
      <c r="DA33" s="38">
        <f>CZ33*(1+$E$10)^-14</f>
        <v>6475200.799174081</v>
      </c>
      <c r="DB33" s="78">
        <f t="shared" si="34"/>
        <v>0</v>
      </c>
      <c r="DC33" s="36">
        <f t="shared" si="2"/>
        <v>227375</v>
      </c>
      <c r="DD33" s="36">
        <f t="shared" si="18"/>
        <v>33277</v>
      </c>
      <c r="DE33" s="36">
        <f t="shared" si="35"/>
        <v>0</v>
      </c>
      <c r="DF33" s="36">
        <f t="shared" si="50"/>
        <v>0</v>
      </c>
      <c r="DG33" s="36">
        <f t="shared" si="63"/>
        <v>0</v>
      </c>
      <c r="DH33" s="36">
        <f t="shared" si="76"/>
        <v>0</v>
      </c>
      <c r="DI33" s="36">
        <f t="shared" si="91"/>
        <v>0</v>
      </c>
      <c r="DJ33" s="36">
        <f t="shared" si="105"/>
        <v>0</v>
      </c>
      <c r="DK33" s="36">
        <f aca="true" t="shared" si="119" ref="DK33:DK42">$C$33*$DB$33</f>
        <v>0</v>
      </c>
      <c r="DL33" s="36"/>
      <c r="DM33" s="36"/>
      <c r="DN33" s="36"/>
      <c r="DO33" s="47"/>
      <c r="DP33" s="36">
        <f t="shared" si="3"/>
        <v>94160</v>
      </c>
      <c r="DQ33" s="36">
        <f t="shared" si="19"/>
        <v>13268</v>
      </c>
      <c r="DR33" s="36">
        <f t="shared" si="36"/>
        <v>0</v>
      </c>
      <c r="DS33" s="36">
        <f t="shared" si="51"/>
        <v>0</v>
      </c>
      <c r="DT33" s="36">
        <f t="shared" si="64"/>
        <v>0</v>
      </c>
      <c r="DU33" s="36">
        <f t="shared" si="77"/>
        <v>0</v>
      </c>
      <c r="DV33" s="36">
        <f t="shared" si="92"/>
        <v>0</v>
      </c>
      <c r="DW33" s="36">
        <f t="shared" si="106"/>
        <v>0</v>
      </c>
      <c r="DX33" s="36">
        <f aca="true" t="shared" si="120" ref="DX33:DX42">$D$33*$DB$33</f>
        <v>0</v>
      </c>
      <c r="DY33" s="36"/>
      <c r="DZ33" s="36"/>
      <c r="EA33" s="36"/>
      <c r="EB33" s="47"/>
      <c r="EC33" s="36">
        <f t="shared" si="4"/>
        <v>1194334</v>
      </c>
      <c r="ED33" s="36">
        <f t="shared" si="20"/>
        <v>151833</v>
      </c>
      <c r="EE33" s="36">
        <f t="shared" si="37"/>
        <v>0</v>
      </c>
      <c r="EF33" s="36">
        <f t="shared" si="52"/>
        <v>0</v>
      </c>
      <c r="EG33" s="36">
        <f t="shared" si="65"/>
        <v>0</v>
      </c>
      <c r="EH33" s="36">
        <f t="shared" si="78"/>
        <v>0</v>
      </c>
      <c r="EI33" s="36">
        <f t="shared" si="93"/>
        <v>0</v>
      </c>
      <c r="EJ33" s="36">
        <f t="shared" si="107"/>
        <v>0</v>
      </c>
      <c r="EK33" s="36">
        <f aca="true" t="shared" si="121" ref="EK33:EK42">$E$33*$DB$33</f>
        <v>0</v>
      </c>
      <c r="EL33" s="36"/>
      <c r="EM33" s="36"/>
      <c r="EN33" s="36"/>
      <c r="EO33" s="47"/>
      <c r="EP33" s="36">
        <f t="shared" si="5"/>
        <v>398147</v>
      </c>
      <c r="EQ33" s="36">
        <f t="shared" si="21"/>
        <v>50611</v>
      </c>
      <c r="ER33" s="36">
        <f t="shared" si="38"/>
        <v>0</v>
      </c>
      <c r="ES33" s="36">
        <f t="shared" si="53"/>
        <v>0</v>
      </c>
      <c r="ET33" s="36">
        <f t="shared" si="66"/>
        <v>0</v>
      </c>
      <c r="EU33" s="36">
        <f t="shared" si="79"/>
        <v>0</v>
      </c>
      <c r="EV33" s="36">
        <f t="shared" si="94"/>
        <v>0</v>
      </c>
      <c r="EW33" s="36">
        <f t="shared" si="108"/>
        <v>0</v>
      </c>
      <c r="EX33" s="36">
        <f aca="true" t="shared" si="122" ref="EX33:EX42">$F$33*$DB$33</f>
        <v>0</v>
      </c>
      <c r="EY33" s="36"/>
      <c r="EZ33" s="36"/>
      <c r="FA33" s="36"/>
      <c r="FB33" s="47"/>
      <c r="FC33" s="36">
        <f t="shared" si="6"/>
        <v>83032</v>
      </c>
      <c r="FD33" s="36">
        <f t="shared" si="22"/>
        <v>15132</v>
      </c>
      <c r="FE33" s="36">
        <f t="shared" si="39"/>
        <v>0</v>
      </c>
      <c r="FF33" s="36">
        <f t="shared" si="54"/>
        <v>0</v>
      </c>
      <c r="FG33" s="36">
        <f t="shared" si="67"/>
        <v>0</v>
      </c>
      <c r="FH33" s="36">
        <f t="shared" si="80"/>
        <v>0</v>
      </c>
      <c r="FI33" s="36">
        <f t="shared" si="95"/>
        <v>0</v>
      </c>
      <c r="FJ33" s="36">
        <f t="shared" si="109"/>
        <v>0</v>
      </c>
      <c r="FK33" s="36">
        <f aca="true" t="shared" si="123" ref="FK33:FK42">$G$33*$K$21</f>
        <v>0</v>
      </c>
      <c r="FL33" s="36"/>
      <c r="FM33" s="36"/>
      <c r="FN33" s="36"/>
      <c r="FO33" s="47"/>
      <c r="FP33" s="36">
        <f t="shared" si="7"/>
        <v>27645</v>
      </c>
      <c r="FQ33" s="36">
        <f t="shared" si="23"/>
        <v>5044</v>
      </c>
      <c r="FR33" s="36">
        <f t="shared" si="40"/>
        <v>0</v>
      </c>
      <c r="FS33" s="36">
        <f t="shared" si="55"/>
        <v>0</v>
      </c>
      <c r="FT33" s="36">
        <f t="shared" si="68"/>
        <v>0</v>
      </c>
      <c r="FU33" s="36">
        <f t="shared" si="81"/>
        <v>0</v>
      </c>
      <c r="FV33" s="36">
        <f t="shared" si="96"/>
        <v>0</v>
      </c>
      <c r="FW33" s="36">
        <f t="shared" si="110"/>
        <v>0</v>
      </c>
      <c r="FX33" s="36">
        <f aca="true" t="shared" si="124" ref="FX33:FX42">$H$33*$K$21</f>
        <v>0</v>
      </c>
      <c r="FY33" s="36"/>
      <c r="FZ33" s="36"/>
      <c r="GA33" s="36"/>
      <c r="GB33" s="47"/>
      <c r="GC33" s="36">
        <f t="shared" si="8"/>
        <v>87954</v>
      </c>
      <c r="GD33" s="36">
        <f t="shared" si="24"/>
        <v>11235</v>
      </c>
      <c r="GE33" s="36">
        <f t="shared" si="41"/>
        <v>0</v>
      </c>
      <c r="GF33" s="36">
        <f t="shared" si="56"/>
        <v>0</v>
      </c>
      <c r="GG33" s="36">
        <f t="shared" si="69"/>
        <v>0</v>
      </c>
      <c r="GH33" s="36">
        <f t="shared" si="82"/>
        <v>0</v>
      </c>
      <c r="GI33" s="36">
        <f t="shared" si="97"/>
        <v>0</v>
      </c>
      <c r="GJ33" s="36">
        <f t="shared" si="111"/>
        <v>0</v>
      </c>
      <c r="GK33" s="36">
        <f aca="true" t="shared" si="125" ref="GK33:GK42">$I$33*$DB$33</f>
        <v>0</v>
      </c>
      <c r="GL33" s="36"/>
      <c r="GM33" s="36"/>
      <c r="GN33" s="36"/>
      <c r="GO33" s="47"/>
      <c r="GP33" s="36">
        <f>SUM(DC33:GO33)</f>
        <v>2393047</v>
      </c>
      <c r="GQ33" s="38">
        <f>GP33*(1+$E$11)^-14</f>
        <v>1208651.3497120675</v>
      </c>
      <c r="GR33" s="38">
        <f t="shared" si="25"/>
        <v>15213501.675</v>
      </c>
      <c r="GS33" s="52">
        <f t="shared" si="9"/>
        <v>7683852.148886148</v>
      </c>
      <c r="GT33" s="36"/>
    </row>
    <row r="34" spans="1:202" ht="15.75">
      <c r="A34" s="9">
        <v>2010</v>
      </c>
      <c r="B34" s="49">
        <v>2017</v>
      </c>
      <c r="C34" s="31">
        <v>445</v>
      </c>
      <c r="D34" s="31">
        <v>157</v>
      </c>
      <c r="E34" s="31">
        <v>2129</v>
      </c>
      <c r="F34" s="31">
        <v>710</v>
      </c>
      <c r="G34" s="31">
        <v>339</v>
      </c>
      <c r="H34" s="31">
        <v>113</v>
      </c>
      <c r="I34" s="31">
        <v>157</v>
      </c>
      <c r="J34" s="84">
        <f t="shared" si="10"/>
        <v>3448</v>
      </c>
      <c r="K34" s="86">
        <f t="shared" si="11"/>
        <v>4050</v>
      </c>
      <c r="L34" s="36">
        <f t="shared" si="26"/>
        <v>297.85</v>
      </c>
      <c r="M34" s="36">
        <f t="shared" si="0"/>
        <v>564134.375</v>
      </c>
      <c r="N34" s="36">
        <f t="shared" si="27"/>
        <v>82562.725</v>
      </c>
      <c r="O34" s="36">
        <f t="shared" si="42"/>
        <v>97099.1</v>
      </c>
      <c r="P34" s="36">
        <f t="shared" si="43"/>
        <v>101269.00000000001</v>
      </c>
      <c r="Q34" s="36">
        <f t="shared" si="70"/>
        <v>106034.6</v>
      </c>
      <c r="R34" s="36">
        <f t="shared" si="83"/>
        <v>110800.20000000001</v>
      </c>
      <c r="S34" s="36">
        <f t="shared" si="98"/>
        <v>115863.65000000001</v>
      </c>
      <c r="T34" s="36">
        <f t="shared" si="112"/>
        <v>121224.95000000001</v>
      </c>
      <c r="U34" s="36">
        <f aca="true" t="shared" si="126" ref="U34:U42">$C$33*$L$33</f>
        <v>126884.1</v>
      </c>
      <c r="V34" s="36">
        <f>$C$34*$L$34</f>
        <v>132543.25</v>
      </c>
      <c r="W34" s="36"/>
      <c r="X34" s="36"/>
      <c r="Y34" s="47"/>
      <c r="Z34" s="36">
        <f t="shared" si="12"/>
        <v>233618.00000000003</v>
      </c>
      <c r="AA34" s="36">
        <f t="shared" si="28"/>
        <v>32918.9</v>
      </c>
      <c r="AB34" s="36">
        <f t="shared" si="44"/>
        <v>38124.8</v>
      </c>
      <c r="AC34" s="36">
        <f t="shared" si="57"/>
        <v>39316.200000000004</v>
      </c>
      <c r="AD34" s="36">
        <f t="shared" si="71"/>
        <v>40507.600000000006</v>
      </c>
      <c r="AE34" s="36">
        <f t="shared" si="84"/>
        <v>41699</v>
      </c>
      <c r="AF34" s="36">
        <f t="shared" si="99"/>
        <v>42890.4</v>
      </c>
      <c r="AG34" s="36">
        <f t="shared" si="113"/>
        <v>44081.8</v>
      </c>
      <c r="AH34" s="36">
        <f aca="true" t="shared" si="127" ref="AH34:AH42">$D$33*$L$33</f>
        <v>45571.05</v>
      </c>
      <c r="AI34" s="36">
        <f>$D$34*$L$34</f>
        <v>46762.450000000004</v>
      </c>
      <c r="AJ34" s="36"/>
      <c r="AK34" s="36"/>
      <c r="AL34" s="47"/>
      <c r="AM34" s="36">
        <f t="shared" si="13"/>
        <v>2963231.95</v>
      </c>
      <c r="AN34" s="36">
        <f t="shared" si="29"/>
        <v>376709.025</v>
      </c>
      <c r="AO34" s="36">
        <f t="shared" si="45"/>
        <v>444690.05000000005</v>
      </c>
      <c r="AP34" s="36">
        <f t="shared" si="58"/>
        <v>467922.35000000003</v>
      </c>
      <c r="AQ34" s="36">
        <f t="shared" si="72"/>
        <v>492048.2</v>
      </c>
      <c r="AR34" s="36">
        <f t="shared" si="85"/>
        <v>517663.30000000005</v>
      </c>
      <c r="AS34" s="36">
        <f t="shared" si="100"/>
        <v>544767.65</v>
      </c>
      <c r="AT34" s="36">
        <f t="shared" si="114"/>
        <v>573063.4</v>
      </c>
      <c r="AU34" s="36">
        <f aca="true" t="shared" si="128" ref="AU34:AU42">$E$33*$L$33</f>
        <v>602848.4</v>
      </c>
      <c r="AV34" s="36">
        <f>$E$34*$L$34</f>
        <v>634122.65</v>
      </c>
      <c r="AW34" s="36"/>
      <c r="AX34" s="36"/>
      <c r="AY34" s="47"/>
      <c r="AZ34" s="36">
        <f t="shared" si="14"/>
        <v>987832.4750000001</v>
      </c>
      <c r="BA34" s="36">
        <f t="shared" si="30"/>
        <v>125569.67500000002</v>
      </c>
      <c r="BB34" s="36">
        <f t="shared" si="46"/>
        <v>148329.30000000002</v>
      </c>
      <c r="BC34" s="36">
        <f t="shared" si="59"/>
        <v>156073.40000000002</v>
      </c>
      <c r="BD34" s="36">
        <f t="shared" si="73"/>
        <v>164115.35</v>
      </c>
      <c r="BE34" s="36">
        <f t="shared" si="86"/>
        <v>172455.15000000002</v>
      </c>
      <c r="BF34" s="36">
        <f t="shared" si="101"/>
        <v>181688.5</v>
      </c>
      <c r="BG34" s="36">
        <f t="shared" si="115"/>
        <v>190921.85</v>
      </c>
      <c r="BH34" s="36">
        <f aca="true" t="shared" si="129" ref="BH34:BH42">$F$33*$L$33</f>
        <v>201048.75000000003</v>
      </c>
      <c r="BI34" s="36">
        <f>$F$34*$L$34</f>
        <v>211473.50000000003</v>
      </c>
      <c r="BJ34" s="36"/>
      <c r="BK34" s="36"/>
      <c r="BL34" s="47"/>
      <c r="BM34" s="36">
        <f t="shared" si="15"/>
        <v>227246.6</v>
      </c>
      <c r="BN34" s="36">
        <f t="shared" si="31"/>
        <v>41414.100000000006</v>
      </c>
      <c r="BO34" s="36">
        <f t="shared" si="47"/>
        <v>51230.200000000004</v>
      </c>
      <c r="BP34" s="36">
        <f t="shared" si="60"/>
        <v>56293.65</v>
      </c>
      <c r="BQ34" s="36">
        <f t="shared" si="74"/>
        <v>62250.65</v>
      </c>
      <c r="BR34" s="36">
        <f t="shared" si="87"/>
        <v>68505.5</v>
      </c>
      <c r="BS34" s="36">
        <f t="shared" si="102"/>
        <v>75653.90000000001</v>
      </c>
      <c r="BT34" s="36">
        <f t="shared" si="116"/>
        <v>83100.15000000001</v>
      </c>
      <c r="BU34" s="36">
        <f aca="true" t="shared" si="130" ref="BU34:BU42">$G$33*$L$33</f>
        <v>91737.8</v>
      </c>
      <c r="BV34" s="36">
        <f>$G$34*$L$34</f>
        <v>100971.15000000001</v>
      </c>
      <c r="BW34" s="36"/>
      <c r="BX34" s="36"/>
      <c r="BY34" s="47"/>
      <c r="BZ34" s="36">
        <f t="shared" si="16"/>
        <v>75660.375</v>
      </c>
      <c r="CA34" s="36">
        <f t="shared" si="32"/>
        <v>13804.7</v>
      </c>
      <c r="CB34" s="36">
        <f t="shared" si="48"/>
        <v>16977.45</v>
      </c>
      <c r="CC34" s="36">
        <f t="shared" si="61"/>
        <v>18764.550000000003</v>
      </c>
      <c r="CD34" s="36">
        <f t="shared" si="75"/>
        <v>20849.5</v>
      </c>
      <c r="CE34" s="36">
        <f t="shared" si="88"/>
        <v>22934.45</v>
      </c>
      <c r="CF34" s="36">
        <f t="shared" si="103"/>
        <v>25317.250000000004</v>
      </c>
      <c r="CG34" s="36">
        <f t="shared" si="117"/>
        <v>27700.050000000003</v>
      </c>
      <c r="CH34" s="36">
        <f aca="true" t="shared" si="131" ref="CH34:CH42">$H$33*$L$33</f>
        <v>30678.550000000003</v>
      </c>
      <c r="CI34" s="36">
        <f>$H$34*$L$34</f>
        <v>33657.05</v>
      </c>
      <c r="CJ34" s="36"/>
      <c r="CK34" s="36"/>
      <c r="CL34" s="47"/>
      <c r="CM34" s="36">
        <f t="shared" si="17"/>
        <v>218220.45</v>
      </c>
      <c r="CN34" s="36">
        <f t="shared" si="33"/>
        <v>27874.875000000004</v>
      </c>
      <c r="CO34" s="36">
        <f t="shared" si="49"/>
        <v>32763.500000000004</v>
      </c>
      <c r="CP34" s="36">
        <f t="shared" si="62"/>
        <v>34550.600000000006</v>
      </c>
      <c r="CQ34" s="36">
        <f t="shared" si="89"/>
        <v>36337.700000000004</v>
      </c>
      <c r="CR34" s="36">
        <f t="shared" si="90"/>
        <v>38124.8</v>
      </c>
      <c r="CS34" s="36">
        <f t="shared" si="104"/>
        <v>40209.75</v>
      </c>
      <c r="CT34" s="36">
        <f t="shared" si="118"/>
        <v>42294.700000000004</v>
      </c>
      <c r="CU34" s="36">
        <f aca="true" t="shared" si="132" ref="CU34:CU42">$I$33*$L$33</f>
        <v>44379.65</v>
      </c>
      <c r="CV34" s="36">
        <f>$I$34*$L$34</f>
        <v>46762.450000000004</v>
      </c>
      <c r="CW34" s="36"/>
      <c r="CX34" s="36"/>
      <c r="CY34" s="36"/>
      <c r="CZ34" s="36">
        <f t="shared" si="1"/>
        <v>14026747.175</v>
      </c>
      <c r="DA34" s="38">
        <f>CZ34*(1+$E$10)^-15</f>
        <v>6747105.221774215</v>
      </c>
      <c r="DB34" s="78">
        <f t="shared" si="34"/>
        <v>0</v>
      </c>
      <c r="DC34" s="36">
        <f t="shared" si="2"/>
        <v>227375</v>
      </c>
      <c r="DD34" s="36">
        <f t="shared" si="18"/>
        <v>33277</v>
      </c>
      <c r="DE34" s="36">
        <f t="shared" si="35"/>
        <v>0</v>
      </c>
      <c r="DF34" s="36">
        <f t="shared" si="50"/>
        <v>0</v>
      </c>
      <c r="DG34" s="36">
        <f t="shared" si="63"/>
        <v>0</v>
      </c>
      <c r="DH34" s="36">
        <f t="shared" si="76"/>
        <v>0</v>
      </c>
      <c r="DI34" s="36">
        <f t="shared" si="91"/>
        <v>0</v>
      </c>
      <c r="DJ34" s="36">
        <f t="shared" si="105"/>
        <v>0</v>
      </c>
      <c r="DK34" s="36">
        <f t="shared" si="119"/>
        <v>0</v>
      </c>
      <c r="DL34" s="36">
        <f aca="true" t="shared" si="133" ref="DL34:DL43">$C$34*$DB$34</f>
        <v>0</v>
      </c>
      <c r="DM34" s="36"/>
      <c r="DN34" s="36"/>
      <c r="DO34" s="47"/>
      <c r="DP34" s="36">
        <f t="shared" si="3"/>
        <v>94160</v>
      </c>
      <c r="DQ34" s="36">
        <f t="shared" si="19"/>
        <v>13268</v>
      </c>
      <c r="DR34" s="36">
        <f t="shared" si="36"/>
        <v>0</v>
      </c>
      <c r="DS34" s="36">
        <f t="shared" si="51"/>
        <v>0</v>
      </c>
      <c r="DT34" s="36">
        <f t="shared" si="64"/>
        <v>0</v>
      </c>
      <c r="DU34" s="36">
        <f t="shared" si="77"/>
        <v>0</v>
      </c>
      <c r="DV34" s="36">
        <f t="shared" si="92"/>
        <v>0</v>
      </c>
      <c r="DW34" s="36">
        <f t="shared" si="106"/>
        <v>0</v>
      </c>
      <c r="DX34" s="36">
        <f t="shared" si="120"/>
        <v>0</v>
      </c>
      <c r="DY34" s="36">
        <f aca="true" t="shared" si="134" ref="DY34:DY43">$D$34*$DB$34</f>
        <v>0</v>
      </c>
      <c r="DZ34" s="36"/>
      <c r="EA34" s="36"/>
      <c r="EB34" s="47"/>
      <c r="EC34" s="36">
        <f t="shared" si="4"/>
        <v>1194334</v>
      </c>
      <c r="ED34" s="36">
        <f t="shared" si="20"/>
        <v>151833</v>
      </c>
      <c r="EE34" s="36">
        <f t="shared" si="37"/>
        <v>0</v>
      </c>
      <c r="EF34" s="36">
        <f t="shared" si="52"/>
        <v>0</v>
      </c>
      <c r="EG34" s="36">
        <f t="shared" si="65"/>
        <v>0</v>
      </c>
      <c r="EH34" s="36">
        <f t="shared" si="78"/>
        <v>0</v>
      </c>
      <c r="EI34" s="36">
        <f t="shared" si="93"/>
        <v>0</v>
      </c>
      <c r="EJ34" s="36">
        <f t="shared" si="107"/>
        <v>0</v>
      </c>
      <c r="EK34" s="36">
        <f t="shared" si="121"/>
        <v>0</v>
      </c>
      <c r="EL34" s="36">
        <f aca="true" t="shared" si="135" ref="EL34:EL43">$E$34*$DB$34</f>
        <v>0</v>
      </c>
      <c r="EM34" s="36"/>
      <c r="EN34" s="36"/>
      <c r="EO34" s="47"/>
      <c r="EP34" s="36">
        <f t="shared" si="5"/>
        <v>398147</v>
      </c>
      <c r="EQ34" s="36">
        <f t="shared" si="21"/>
        <v>50611</v>
      </c>
      <c r="ER34" s="36">
        <f t="shared" si="38"/>
        <v>0</v>
      </c>
      <c r="ES34" s="36">
        <f t="shared" si="53"/>
        <v>0</v>
      </c>
      <c r="ET34" s="36">
        <f t="shared" si="66"/>
        <v>0</v>
      </c>
      <c r="EU34" s="36">
        <f t="shared" si="79"/>
        <v>0</v>
      </c>
      <c r="EV34" s="36">
        <f t="shared" si="94"/>
        <v>0</v>
      </c>
      <c r="EW34" s="36">
        <f t="shared" si="108"/>
        <v>0</v>
      </c>
      <c r="EX34" s="36">
        <f t="shared" si="122"/>
        <v>0</v>
      </c>
      <c r="EY34" s="36">
        <f aca="true" t="shared" si="136" ref="EY34:EY43">$F$34*$DB$34</f>
        <v>0</v>
      </c>
      <c r="EZ34" s="36"/>
      <c r="FA34" s="36"/>
      <c r="FB34" s="47"/>
      <c r="FC34" s="36">
        <f t="shared" si="6"/>
        <v>83032</v>
      </c>
      <c r="FD34" s="36">
        <f t="shared" si="22"/>
        <v>15132</v>
      </c>
      <c r="FE34" s="36">
        <f t="shared" si="39"/>
        <v>0</v>
      </c>
      <c r="FF34" s="36">
        <f t="shared" si="54"/>
        <v>0</v>
      </c>
      <c r="FG34" s="36">
        <f t="shared" si="67"/>
        <v>0</v>
      </c>
      <c r="FH34" s="36">
        <f t="shared" si="80"/>
        <v>0</v>
      </c>
      <c r="FI34" s="36">
        <f t="shared" si="95"/>
        <v>0</v>
      </c>
      <c r="FJ34" s="36">
        <f t="shared" si="109"/>
        <v>0</v>
      </c>
      <c r="FK34" s="36">
        <f t="shared" si="123"/>
        <v>0</v>
      </c>
      <c r="FL34" s="36">
        <f aca="true" t="shared" si="137" ref="FL34:FL43">$G$34*$K$21</f>
        <v>0</v>
      </c>
      <c r="FM34" s="36"/>
      <c r="FN34" s="36"/>
      <c r="FO34" s="47"/>
      <c r="FP34" s="36">
        <f t="shared" si="7"/>
        <v>27645</v>
      </c>
      <c r="FQ34" s="36">
        <f t="shared" si="23"/>
        <v>5044</v>
      </c>
      <c r="FR34" s="36">
        <f t="shared" si="40"/>
        <v>0</v>
      </c>
      <c r="FS34" s="36">
        <f t="shared" si="55"/>
        <v>0</v>
      </c>
      <c r="FT34" s="36">
        <f t="shared" si="68"/>
        <v>0</v>
      </c>
      <c r="FU34" s="36">
        <f t="shared" si="81"/>
        <v>0</v>
      </c>
      <c r="FV34" s="36">
        <f t="shared" si="96"/>
        <v>0</v>
      </c>
      <c r="FW34" s="36">
        <f t="shared" si="110"/>
        <v>0</v>
      </c>
      <c r="FX34" s="36">
        <f t="shared" si="124"/>
        <v>0</v>
      </c>
      <c r="FY34" s="36">
        <f aca="true" t="shared" si="138" ref="FY34:FY43">$H$34*$K$21</f>
        <v>0</v>
      </c>
      <c r="FZ34" s="36"/>
      <c r="GA34" s="36"/>
      <c r="GB34" s="47"/>
      <c r="GC34" s="36">
        <f t="shared" si="8"/>
        <v>87954</v>
      </c>
      <c r="GD34" s="36">
        <f t="shared" si="24"/>
        <v>11235</v>
      </c>
      <c r="GE34" s="36">
        <f t="shared" si="41"/>
        <v>0</v>
      </c>
      <c r="GF34" s="36">
        <f t="shared" si="56"/>
        <v>0</v>
      </c>
      <c r="GG34" s="36">
        <f t="shared" si="69"/>
        <v>0</v>
      </c>
      <c r="GH34" s="36">
        <f t="shared" si="82"/>
        <v>0</v>
      </c>
      <c r="GI34" s="36">
        <f t="shared" si="97"/>
        <v>0</v>
      </c>
      <c r="GJ34" s="36">
        <f t="shared" si="111"/>
        <v>0</v>
      </c>
      <c r="GK34" s="36">
        <f t="shared" si="125"/>
        <v>0</v>
      </c>
      <c r="GL34" s="36">
        <f aca="true" t="shared" si="139" ref="GL34:GL43">$I$34*$DB$34</f>
        <v>0</v>
      </c>
      <c r="GM34" s="36"/>
      <c r="GN34" s="36"/>
      <c r="GO34" s="47"/>
      <c r="GP34" s="36">
        <f>SUM(DC34:GO34)</f>
        <v>2393047</v>
      </c>
      <c r="GQ34" s="38">
        <f>GP34*(1+$E$11)^-15</f>
        <v>1151096.523535302</v>
      </c>
      <c r="GR34" s="38">
        <f t="shared" si="25"/>
        <v>16419794.175</v>
      </c>
      <c r="GS34" s="52">
        <f t="shared" si="9"/>
        <v>7898201.745309517</v>
      </c>
      <c r="GT34" s="36"/>
    </row>
    <row r="35" spans="1:202" ht="15.75">
      <c r="A35" s="9">
        <v>2011</v>
      </c>
      <c r="B35" s="49">
        <v>2018</v>
      </c>
      <c r="C35" s="31">
        <v>465</v>
      </c>
      <c r="D35" s="31">
        <v>162</v>
      </c>
      <c r="E35" s="31">
        <v>2240</v>
      </c>
      <c r="F35" s="31">
        <v>747</v>
      </c>
      <c r="G35" s="31">
        <v>374</v>
      </c>
      <c r="H35" s="31">
        <v>125</v>
      </c>
      <c r="I35" s="31">
        <v>165</v>
      </c>
      <c r="J35" s="84">
        <f t="shared" si="10"/>
        <v>3651</v>
      </c>
      <c r="K35" s="86">
        <f t="shared" si="11"/>
        <v>4278</v>
      </c>
      <c r="L35" s="36">
        <f t="shared" si="26"/>
        <v>297.85</v>
      </c>
      <c r="M35" s="36"/>
      <c r="N35" s="36">
        <f t="shared" si="27"/>
        <v>82562.725</v>
      </c>
      <c r="O35" s="36">
        <f t="shared" si="42"/>
        <v>97099.1</v>
      </c>
      <c r="P35" s="36">
        <f t="shared" si="43"/>
        <v>101269.00000000001</v>
      </c>
      <c r="Q35" s="36">
        <f t="shared" si="70"/>
        <v>106034.6</v>
      </c>
      <c r="R35" s="36">
        <f t="shared" si="83"/>
        <v>110800.20000000001</v>
      </c>
      <c r="S35" s="36">
        <f t="shared" si="98"/>
        <v>115863.65000000001</v>
      </c>
      <c r="T35" s="36">
        <f t="shared" si="112"/>
        <v>121224.95000000001</v>
      </c>
      <c r="U35" s="36">
        <f t="shared" si="126"/>
        <v>126884.1</v>
      </c>
      <c r="V35" s="36">
        <f aca="true" t="shared" si="140" ref="V35:V43">$C$34*$L$34</f>
        <v>132543.25</v>
      </c>
      <c r="W35" s="36">
        <f>$C$35*$L$35</f>
        <v>138500.25</v>
      </c>
      <c r="X35" s="36"/>
      <c r="Y35" s="47"/>
      <c r="Z35" s="36"/>
      <c r="AA35" s="36">
        <f t="shared" si="28"/>
        <v>32918.9</v>
      </c>
      <c r="AB35" s="36">
        <f t="shared" si="44"/>
        <v>38124.8</v>
      </c>
      <c r="AC35" s="36">
        <f t="shared" si="57"/>
        <v>39316.200000000004</v>
      </c>
      <c r="AD35" s="36">
        <f t="shared" si="71"/>
        <v>40507.600000000006</v>
      </c>
      <c r="AE35" s="36">
        <f t="shared" si="84"/>
        <v>41699</v>
      </c>
      <c r="AF35" s="36">
        <f t="shared" si="99"/>
        <v>42890.4</v>
      </c>
      <c r="AG35" s="36">
        <f t="shared" si="113"/>
        <v>44081.8</v>
      </c>
      <c r="AH35" s="36">
        <f t="shared" si="127"/>
        <v>45571.05</v>
      </c>
      <c r="AI35" s="36">
        <f aca="true" t="shared" si="141" ref="AI35:AI43">$D$34*$L$34</f>
        <v>46762.450000000004</v>
      </c>
      <c r="AJ35" s="36">
        <f>$D$35*$L$35</f>
        <v>48251.700000000004</v>
      </c>
      <c r="AK35" s="36"/>
      <c r="AL35" s="47"/>
      <c r="AM35" s="36"/>
      <c r="AN35" s="36">
        <f t="shared" si="29"/>
        <v>376709.025</v>
      </c>
      <c r="AO35" s="36">
        <f t="shared" si="45"/>
        <v>444690.05000000005</v>
      </c>
      <c r="AP35" s="36">
        <f t="shared" si="58"/>
        <v>467922.35000000003</v>
      </c>
      <c r="AQ35" s="36">
        <f t="shared" si="72"/>
        <v>492048.2</v>
      </c>
      <c r="AR35" s="36">
        <f t="shared" si="85"/>
        <v>517663.30000000005</v>
      </c>
      <c r="AS35" s="36">
        <f t="shared" si="100"/>
        <v>544767.65</v>
      </c>
      <c r="AT35" s="36">
        <f t="shared" si="114"/>
        <v>573063.4</v>
      </c>
      <c r="AU35" s="36">
        <f t="shared" si="128"/>
        <v>602848.4</v>
      </c>
      <c r="AV35" s="36">
        <f aca="true" t="shared" si="142" ref="AV35:AV43">$E$34*$L$34</f>
        <v>634122.65</v>
      </c>
      <c r="AW35" s="36">
        <f>$E$35*$L$35</f>
        <v>667184</v>
      </c>
      <c r="AX35" s="36"/>
      <c r="AY35" s="47"/>
      <c r="AZ35" s="36"/>
      <c r="BA35" s="36">
        <f t="shared" si="30"/>
        <v>125569.67500000002</v>
      </c>
      <c r="BB35" s="36">
        <f t="shared" si="46"/>
        <v>148329.30000000002</v>
      </c>
      <c r="BC35" s="36">
        <f t="shared" si="59"/>
        <v>156073.40000000002</v>
      </c>
      <c r="BD35" s="36">
        <f t="shared" si="73"/>
        <v>164115.35</v>
      </c>
      <c r="BE35" s="36">
        <f t="shared" si="86"/>
        <v>172455.15000000002</v>
      </c>
      <c r="BF35" s="36">
        <f t="shared" si="101"/>
        <v>181688.5</v>
      </c>
      <c r="BG35" s="36">
        <f t="shared" si="115"/>
        <v>190921.85</v>
      </c>
      <c r="BH35" s="36">
        <f t="shared" si="129"/>
        <v>201048.75000000003</v>
      </c>
      <c r="BI35" s="36">
        <f aca="true" t="shared" si="143" ref="BI35:BI43">$F$34*$L$34</f>
        <v>211473.50000000003</v>
      </c>
      <c r="BJ35" s="36">
        <f>$F$35*$L$35</f>
        <v>222493.95</v>
      </c>
      <c r="BK35" s="36"/>
      <c r="BL35" s="47"/>
      <c r="BM35" s="36"/>
      <c r="BN35" s="36">
        <f t="shared" si="31"/>
        <v>41414.100000000006</v>
      </c>
      <c r="BO35" s="36">
        <f t="shared" si="47"/>
        <v>51230.200000000004</v>
      </c>
      <c r="BP35" s="36">
        <f t="shared" si="60"/>
        <v>56293.65</v>
      </c>
      <c r="BQ35" s="36">
        <f t="shared" si="74"/>
        <v>62250.65</v>
      </c>
      <c r="BR35" s="36">
        <f t="shared" si="87"/>
        <v>68505.5</v>
      </c>
      <c r="BS35" s="36">
        <f t="shared" si="102"/>
        <v>75653.90000000001</v>
      </c>
      <c r="BT35" s="36">
        <f t="shared" si="116"/>
        <v>83100.15000000001</v>
      </c>
      <c r="BU35" s="36">
        <f t="shared" si="130"/>
        <v>91737.8</v>
      </c>
      <c r="BV35" s="36">
        <f aca="true" t="shared" si="144" ref="BV35:BV43">$G$34*$L$34</f>
        <v>100971.15000000001</v>
      </c>
      <c r="BW35" s="36">
        <f>$G$35*$L$35</f>
        <v>111395.90000000001</v>
      </c>
      <c r="BX35" s="36"/>
      <c r="BY35" s="47"/>
      <c r="BZ35" s="36"/>
      <c r="CA35" s="36">
        <f t="shared" si="32"/>
        <v>13804.7</v>
      </c>
      <c r="CB35" s="36">
        <f t="shared" si="48"/>
        <v>16977.45</v>
      </c>
      <c r="CC35" s="36">
        <f t="shared" si="61"/>
        <v>18764.550000000003</v>
      </c>
      <c r="CD35" s="36">
        <f t="shared" si="75"/>
        <v>20849.5</v>
      </c>
      <c r="CE35" s="36">
        <f t="shared" si="88"/>
        <v>22934.45</v>
      </c>
      <c r="CF35" s="36">
        <f t="shared" si="103"/>
        <v>25317.250000000004</v>
      </c>
      <c r="CG35" s="36">
        <f t="shared" si="117"/>
        <v>27700.050000000003</v>
      </c>
      <c r="CH35" s="36">
        <f t="shared" si="131"/>
        <v>30678.550000000003</v>
      </c>
      <c r="CI35" s="36">
        <f aca="true" t="shared" si="145" ref="CI35:CI43">$H$34*$L$34</f>
        <v>33657.05</v>
      </c>
      <c r="CJ35" s="36">
        <f>$H$35*$L$35</f>
        <v>37231.25</v>
      </c>
      <c r="CK35" s="36"/>
      <c r="CL35" s="47"/>
      <c r="CM35" s="36"/>
      <c r="CN35" s="36">
        <f t="shared" si="33"/>
        <v>27874.875000000004</v>
      </c>
      <c r="CO35" s="36">
        <f t="shared" si="49"/>
        <v>32763.500000000004</v>
      </c>
      <c r="CP35" s="36">
        <f t="shared" si="62"/>
        <v>34550.600000000006</v>
      </c>
      <c r="CQ35" s="36">
        <f t="shared" si="89"/>
        <v>36337.700000000004</v>
      </c>
      <c r="CR35" s="36">
        <f t="shared" si="90"/>
        <v>38124.8</v>
      </c>
      <c r="CS35" s="36">
        <f t="shared" si="104"/>
        <v>40209.75</v>
      </c>
      <c r="CT35" s="36">
        <f t="shared" si="118"/>
        <v>42294.700000000004</v>
      </c>
      <c r="CU35" s="36">
        <f t="shared" si="132"/>
        <v>44379.65</v>
      </c>
      <c r="CV35" s="36">
        <f aca="true" t="shared" si="146" ref="CV35:CV43">$I$34*$L$34</f>
        <v>46762.450000000004</v>
      </c>
      <c r="CW35" s="36">
        <f>$I$35*$L$35</f>
        <v>49145.25000000001</v>
      </c>
      <c r="CX35" s="36"/>
      <c r="CY35" s="36"/>
      <c r="CZ35" s="36">
        <f t="shared" si="1"/>
        <v>10031005.250000002</v>
      </c>
      <c r="DA35" s="38">
        <f>CZ35*(1+$E$10)^-16</f>
        <v>4595319.082181226</v>
      </c>
      <c r="DB35" s="78">
        <f t="shared" si="34"/>
        <v>0</v>
      </c>
      <c r="DC35" s="36"/>
      <c r="DD35" s="36">
        <f t="shared" si="18"/>
        <v>33277</v>
      </c>
      <c r="DE35" s="36">
        <f t="shared" si="35"/>
        <v>0</v>
      </c>
      <c r="DF35" s="36">
        <f t="shared" si="50"/>
        <v>0</v>
      </c>
      <c r="DG35" s="36">
        <f t="shared" si="63"/>
        <v>0</v>
      </c>
      <c r="DH35" s="36">
        <f t="shared" si="76"/>
        <v>0</v>
      </c>
      <c r="DI35" s="36">
        <f t="shared" si="91"/>
        <v>0</v>
      </c>
      <c r="DJ35" s="36">
        <f t="shared" si="105"/>
        <v>0</v>
      </c>
      <c r="DK35" s="36">
        <f t="shared" si="119"/>
        <v>0</v>
      </c>
      <c r="DL35" s="36">
        <f t="shared" si="133"/>
        <v>0</v>
      </c>
      <c r="DM35" s="36">
        <f aca="true" t="shared" si="147" ref="DM35:DM44">$C$35*$DB$35</f>
        <v>0</v>
      </c>
      <c r="DN35" s="36"/>
      <c r="DO35" s="47"/>
      <c r="DP35" s="36"/>
      <c r="DQ35" s="36">
        <f t="shared" si="19"/>
        <v>13268</v>
      </c>
      <c r="DR35" s="36">
        <f t="shared" si="36"/>
        <v>0</v>
      </c>
      <c r="DS35" s="36">
        <f t="shared" si="51"/>
        <v>0</v>
      </c>
      <c r="DT35" s="36">
        <f t="shared" si="64"/>
        <v>0</v>
      </c>
      <c r="DU35" s="36">
        <f t="shared" si="77"/>
        <v>0</v>
      </c>
      <c r="DV35" s="36">
        <f t="shared" si="92"/>
        <v>0</v>
      </c>
      <c r="DW35" s="36">
        <f t="shared" si="106"/>
        <v>0</v>
      </c>
      <c r="DX35" s="36">
        <f t="shared" si="120"/>
        <v>0</v>
      </c>
      <c r="DY35" s="36">
        <f t="shared" si="134"/>
        <v>0</v>
      </c>
      <c r="DZ35" s="36">
        <f aca="true" t="shared" si="148" ref="DZ35:DZ44">$D$35*$DB$35</f>
        <v>0</v>
      </c>
      <c r="EA35" s="36"/>
      <c r="EB35" s="47"/>
      <c r="EC35" s="36"/>
      <c r="ED35" s="36">
        <f t="shared" si="20"/>
        <v>151833</v>
      </c>
      <c r="EE35" s="36">
        <f t="shared" si="37"/>
        <v>0</v>
      </c>
      <c r="EF35" s="36">
        <f t="shared" si="52"/>
        <v>0</v>
      </c>
      <c r="EG35" s="36">
        <f t="shared" si="65"/>
        <v>0</v>
      </c>
      <c r="EH35" s="36">
        <f t="shared" si="78"/>
        <v>0</v>
      </c>
      <c r="EI35" s="36">
        <f t="shared" si="93"/>
        <v>0</v>
      </c>
      <c r="EJ35" s="36">
        <f t="shared" si="107"/>
        <v>0</v>
      </c>
      <c r="EK35" s="36">
        <f t="shared" si="121"/>
        <v>0</v>
      </c>
      <c r="EL35" s="36">
        <f t="shared" si="135"/>
        <v>0</v>
      </c>
      <c r="EM35" s="36">
        <f aca="true" t="shared" si="149" ref="EM35:EM44">$E$35*$DB$35</f>
        <v>0</v>
      </c>
      <c r="EN35" s="36"/>
      <c r="EO35" s="47"/>
      <c r="EP35" s="36"/>
      <c r="EQ35" s="36">
        <f t="shared" si="21"/>
        <v>50611</v>
      </c>
      <c r="ER35" s="36">
        <f t="shared" si="38"/>
        <v>0</v>
      </c>
      <c r="ES35" s="36">
        <f t="shared" si="53"/>
        <v>0</v>
      </c>
      <c r="ET35" s="36">
        <f t="shared" si="66"/>
        <v>0</v>
      </c>
      <c r="EU35" s="36">
        <f t="shared" si="79"/>
        <v>0</v>
      </c>
      <c r="EV35" s="36">
        <f t="shared" si="94"/>
        <v>0</v>
      </c>
      <c r="EW35" s="36">
        <f t="shared" si="108"/>
        <v>0</v>
      </c>
      <c r="EX35" s="36">
        <f t="shared" si="122"/>
        <v>0</v>
      </c>
      <c r="EY35" s="36">
        <f t="shared" si="136"/>
        <v>0</v>
      </c>
      <c r="EZ35" s="36">
        <f aca="true" t="shared" si="150" ref="EZ35:EZ44">$F$35*$DB$35</f>
        <v>0</v>
      </c>
      <c r="FA35" s="36"/>
      <c r="FB35" s="47"/>
      <c r="FC35" s="36"/>
      <c r="FD35" s="36">
        <f t="shared" si="22"/>
        <v>15132</v>
      </c>
      <c r="FE35" s="36">
        <f t="shared" si="39"/>
        <v>0</v>
      </c>
      <c r="FF35" s="36">
        <f t="shared" si="54"/>
        <v>0</v>
      </c>
      <c r="FG35" s="36">
        <f t="shared" si="67"/>
        <v>0</v>
      </c>
      <c r="FH35" s="36">
        <f t="shared" si="80"/>
        <v>0</v>
      </c>
      <c r="FI35" s="36">
        <f t="shared" si="95"/>
        <v>0</v>
      </c>
      <c r="FJ35" s="36">
        <f t="shared" si="109"/>
        <v>0</v>
      </c>
      <c r="FK35" s="36">
        <f t="shared" si="123"/>
        <v>0</v>
      </c>
      <c r="FL35" s="36">
        <f t="shared" si="137"/>
        <v>0</v>
      </c>
      <c r="FM35" s="36">
        <f aca="true" t="shared" si="151" ref="FM35:FM44">$G$35*$K$21</f>
        <v>0</v>
      </c>
      <c r="FN35" s="36"/>
      <c r="FO35" s="47"/>
      <c r="FP35" s="36"/>
      <c r="FQ35" s="36">
        <f t="shared" si="23"/>
        <v>5044</v>
      </c>
      <c r="FR35" s="36">
        <f t="shared" si="40"/>
        <v>0</v>
      </c>
      <c r="FS35" s="36">
        <f t="shared" si="55"/>
        <v>0</v>
      </c>
      <c r="FT35" s="36">
        <f t="shared" si="68"/>
        <v>0</v>
      </c>
      <c r="FU35" s="36">
        <f t="shared" si="81"/>
        <v>0</v>
      </c>
      <c r="FV35" s="36">
        <f t="shared" si="96"/>
        <v>0</v>
      </c>
      <c r="FW35" s="36">
        <f t="shared" si="110"/>
        <v>0</v>
      </c>
      <c r="FX35" s="36">
        <f t="shared" si="124"/>
        <v>0</v>
      </c>
      <c r="FY35" s="36">
        <f t="shared" si="138"/>
        <v>0</v>
      </c>
      <c r="FZ35" s="36">
        <f aca="true" t="shared" si="152" ref="FZ35:FZ44">$H$35*$K$21</f>
        <v>0</v>
      </c>
      <c r="GA35" s="36"/>
      <c r="GB35" s="47"/>
      <c r="GC35" s="36"/>
      <c r="GD35" s="36">
        <f t="shared" si="24"/>
        <v>11235</v>
      </c>
      <c r="GE35" s="36">
        <f t="shared" si="41"/>
        <v>0</v>
      </c>
      <c r="GF35" s="36">
        <f t="shared" si="56"/>
        <v>0</v>
      </c>
      <c r="GG35" s="36">
        <f t="shared" si="69"/>
        <v>0</v>
      </c>
      <c r="GH35" s="36">
        <f t="shared" si="82"/>
        <v>0</v>
      </c>
      <c r="GI35" s="36">
        <f t="shared" si="97"/>
        <v>0</v>
      </c>
      <c r="GJ35" s="36">
        <f t="shared" si="111"/>
        <v>0</v>
      </c>
      <c r="GK35" s="36">
        <f t="shared" si="125"/>
        <v>0</v>
      </c>
      <c r="GL35" s="36">
        <f t="shared" si="139"/>
        <v>0</v>
      </c>
      <c r="GM35" s="36">
        <f aca="true" t="shared" si="153" ref="GM35:GM44">$I$35*$DB$35</f>
        <v>0</v>
      </c>
      <c r="GN35" s="36"/>
      <c r="GO35" s="47"/>
      <c r="GP35" s="36">
        <f>SUM(DC35:GO35)</f>
        <v>280400</v>
      </c>
      <c r="GQ35" s="38">
        <f>GP35*(1+$E$11)^-16</f>
        <v>128454.47076638862</v>
      </c>
      <c r="GR35" s="38">
        <f t="shared" si="25"/>
        <v>10311405.250000002</v>
      </c>
      <c r="GS35" s="52">
        <f t="shared" si="9"/>
        <v>4723773.552947615</v>
      </c>
      <c r="GT35" s="36"/>
    </row>
    <row r="36" spans="1:202" ht="15.75" customHeight="1">
      <c r="A36" s="9">
        <v>2012</v>
      </c>
      <c r="B36" s="49">
        <v>2019</v>
      </c>
      <c r="C36" s="31">
        <v>486</v>
      </c>
      <c r="D36" s="31">
        <v>167</v>
      </c>
      <c r="E36" s="31">
        <v>2356</v>
      </c>
      <c r="F36" s="31">
        <v>785</v>
      </c>
      <c r="G36" s="31">
        <v>412</v>
      </c>
      <c r="H36" s="31">
        <v>137</v>
      </c>
      <c r="I36" s="31">
        <v>174</v>
      </c>
      <c r="J36" s="84">
        <f t="shared" si="10"/>
        <v>3864</v>
      </c>
      <c r="K36" s="86">
        <f t="shared" si="11"/>
        <v>4517</v>
      </c>
      <c r="L36" s="36">
        <f t="shared" si="26"/>
        <v>297.85</v>
      </c>
      <c r="M36" s="36"/>
      <c r="N36" s="36"/>
      <c r="O36" s="36">
        <f t="shared" si="42"/>
        <v>97099.1</v>
      </c>
      <c r="P36" s="36">
        <f t="shared" si="43"/>
        <v>101269.00000000001</v>
      </c>
      <c r="Q36" s="36">
        <f t="shared" si="70"/>
        <v>106034.6</v>
      </c>
      <c r="R36" s="36">
        <f t="shared" si="83"/>
        <v>110800.20000000001</v>
      </c>
      <c r="S36" s="36">
        <f t="shared" si="98"/>
        <v>115863.65000000001</v>
      </c>
      <c r="T36" s="36">
        <f t="shared" si="112"/>
        <v>121224.95000000001</v>
      </c>
      <c r="U36" s="36">
        <f t="shared" si="126"/>
        <v>126884.1</v>
      </c>
      <c r="V36" s="36">
        <f t="shared" si="140"/>
        <v>132543.25</v>
      </c>
      <c r="W36" s="36">
        <f aca="true" t="shared" si="154" ref="W36:W44">$C$35*$L$35</f>
        <v>138500.25</v>
      </c>
      <c r="X36" s="36">
        <f>$C$36*$L$36</f>
        <v>144755.1</v>
      </c>
      <c r="Y36" s="47"/>
      <c r="Z36" s="36"/>
      <c r="AA36" s="36"/>
      <c r="AB36" s="36">
        <f t="shared" si="44"/>
        <v>38124.8</v>
      </c>
      <c r="AC36" s="36">
        <f t="shared" si="57"/>
        <v>39316.200000000004</v>
      </c>
      <c r="AD36" s="36">
        <f t="shared" si="71"/>
        <v>40507.600000000006</v>
      </c>
      <c r="AE36" s="36">
        <f t="shared" si="84"/>
        <v>41699</v>
      </c>
      <c r="AF36" s="36">
        <f t="shared" si="99"/>
        <v>42890.4</v>
      </c>
      <c r="AG36" s="36">
        <f t="shared" si="113"/>
        <v>44081.8</v>
      </c>
      <c r="AH36" s="36">
        <f t="shared" si="127"/>
        <v>45571.05</v>
      </c>
      <c r="AI36" s="36">
        <f t="shared" si="141"/>
        <v>46762.450000000004</v>
      </c>
      <c r="AJ36" s="36">
        <f aca="true" t="shared" si="155" ref="AJ36:AJ44">$D$35*$L$35</f>
        <v>48251.700000000004</v>
      </c>
      <c r="AK36" s="36">
        <f>$D$36*$L$36</f>
        <v>49740.950000000004</v>
      </c>
      <c r="AL36" s="47"/>
      <c r="AM36" s="36"/>
      <c r="AN36" s="36"/>
      <c r="AO36" s="36">
        <f t="shared" si="45"/>
        <v>444690.05000000005</v>
      </c>
      <c r="AP36" s="36">
        <f t="shared" si="58"/>
        <v>467922.35000000003</v>
      </c>
      <c r="AQ36" s="36">
        <f t="shared" si="72"/>
        <v>492048.2</v>
      </c>
      <c r="AR36" s="36">
        <f t="shared" si="85"/>
        <v>517663.30000000005</v>
      </c>
      <c r="AS36" s="36">
        <f t="shared" si="100"/>
        <v>544767.65</v>
      </c>
      <c r="AT36" s="36">
        <f t="shared" si="114"/>
        <v>573063.4</v>
      </c>
      <c r="AU36" s="36">
        <f t="shared" si="128"/>
        <v>602848.4</v>
      </c>
      <c r="AV36" s="36">
        <f t="shared" si="142"/>
        <v>634122.65</v>
      </c>
      <c r="AW36" s="36">
        <f aca="true" t="shared" si="156" ref="AW36:AW44">$E$35*$L$35</f>
        <v>667184</v>
      </c>
      <c r="AX36" s="36">
        <f>$E$36*$L$36</f>
        <v>701734.6000000001</v>
      </c>
      <c r="AY36" s="47"/>
      <c r="AZ36" s="36"/>
      <c r="BA36" s="36"/>
      <c r="BB36" s="36">
        <f t="shared" si="46"/>
        <v>148329.30000000002</v>
      </c>
      <c r="BC36" s="36">
        <f t="shared" si="59"/>
        <v>156073.40000000002</v>
      </c>
      <c r="BD36" s="36">
        <f t="shared" si="73"/>
        <v>164115.35</v>
      </c>
      <c r="BE36" s="36">
        <f t="shared" si="86"/>
        <v>172455.15000000002</v>
      </c>
      <c r="BF36" s="36">
        <f t="shared" si="101"/>
        <v>181688.5</v>
      </c>
      <c r="BG36" s="36">
        <f t="shared" si="115"/>
        <v>190921.85</v>
      </c>
      <c r="BH36" s="36">
        <f t="shared" si="129"/>
        <v>201048.75000000003</v>
      </c>
      <c r="BI36" s="36">
        <f t="shared" si="143"/>
        <v>211473.50000000003</v>
      </c>
      <c r="BJ36" s="36">
        <f aca="true" t="shared" si="157" ref="BJ36:BJ44">$F$35*$L$35</f>
        <v>222493.95</v>
      </c>
      <c r="BK36" s="36">
        <f>$F$36*$L$36</f>
        <v>233812.25000000003</v>
      </c>
      <c r="BL36" s="47"/>
      <c r="BM36" s="36"/>
      <c r="BN36" s="36"/>
      <c r="BO36" s="36">
        <f t="shared" si="47"/>
        <v>51230.200000000004</v>
      </c>
      <c r="BP36" s="36">
        <f t="shared" si="60"/>
        <v>56293.65</v>
      </c>
      <c r="BQ36" s="36">
        <f t="shared" si="74"/>
        <v>62250.65</v>
      </c>
      <c r="BR36" s="36">
        <f t="shared" si="87"/>
        <v>68505.5</v>
      </c>
      <c r="BS36" s="36">
        <f t="shared" si="102"/>
        <v>75653.90000000001</v>
      </c>
      <c r="BT36" s="36">
        <f t="shared" si="116"/>
        <v>83100.15000000001</v>
      </c>
      <c r="BU36" s="36">
        <f t="shared" si="130"/>
        <v>91737.8</v>
      </c>
      <c r="BV36" s="36">
        <f t="shared" si="144"/>
        <v>100971.15000000001</v>
      </c>
      <c r="BW36" s="36">
        <f aca="true" t="shared" si="158" ref="BW36:BW44">$G$35*$L$35</f>
        <v>111395.90000000001</v>
      </c>
      <c r="BX36" s="36">
        <f>$G$36*$L$36</f>
        <v>122714.20000000001</v>
      </c>
      <c r="BY36" s="47"/>
      <c r="BZ36" s="36"/>
      <c r="CA36" s="36"/>
      <c r="CB36" s="36">
        <f t="shared" si="48"/>
        <v>16977.45</v>
      </c>
      <c r="CC36" s="36">
        <f t="shared" si="61"/>
        <v>18764.550000000003</v>
      </c>
      <c r="CD36" s="36">
        <f t="shared" si="75"/>
        <v>20849.5</v>
      </c>
      <c r="CE36" s="36">
        <f t="shared" si="88"/>
        <v>22934.45</v>
      </c>
      <c r="CF36" s="36">
        <f t="shared" si="103"/>
        <v>25317.250000000004</v>
      </c>
      <c r="CG36" s="36">
        <f t="shared" si="117"/>
        <v>27700.050000000003</v>
      </c>
      <c r="CH36" s="36">
        <f t="shared" si="131"/>
        <v>30678.550000000003</v>
      </c>
      <c r="CI36" s="36">
        <f t="shared" si="145"/>
        <v>33657.05</v>
      </c>
      <c r="CJ36" s="36">
        <f aca="true" t="shared" si="159" ref="CJ36:CJ44">$H$35*$L$35</f>
        <v>37231.25</v>
      </c>
      <c r="CK36" s="36">
        <f>$H$36*$L$36</f>
        <v>40805.450000000004</v>
      </c>
      <c r="CL36" s="47"/>
      <c r="CM36" s="36"/>
      <c r="CN36" s="36"/>
      <c r="CO36" s="36">
        <f t="shared" si="49"/>
        <v>32763.500000000004</v>
      </c>
      <c r="CP36" s="36">
        <f t="shared" si="62"/>
        <v>34550.600000000006</v>
      </c>
      <c r="CQ36" s="36">
        <f t="shared" si="89"/>
        <v>36337.700000000004</v>
      </c>
      <c r="CR36" s="36">
        <f t="shared" si="90"/>
        <v>38124.8</v>
      </c>
      <c r="CS36" s="36">
        <f t="shared" si="104"/>
        <v>40209.75</v>
      </c>
      <c r="CT36" s="36">
        <f t="shared" si="118"/>
        <v>42294.700000000004</v>
      </c>
      <c r="CU36" s="36">
        <f t="shared" si="132"/>
        <v>44379.65</v>
      </c>
      <c r="CV36" s="36">
        <f t="shared" si="146"/>
        <v>46762.450000000004</v>
      </c>
      <c r="CW36" s="36">
        <f aca="true" t="shared" si="160" ref="CW36:CW44">$I$35*$L$35</f>
        <v>49145.25000000001</v>
      </c>
      <c r="CX36" s="36">
        <f>$I$36*$L$36</f>
        <v>51825.9</v>
      </c>
      <c r="CY36" s="36"/>
      <c r="CZ36" s="36">
        <f t="shared" si="1"/>
        <v>10675539.700000003</v>
      </c>
      <c r="DA36" s="38">
        <f>CZ36*(1+$E$10)^-17</f>
        <v>4657702.609568207</v>
      </c>
      <c r="DB36" s="78">
        <f t="shared" si="34"/>
        <v>0</v>
      </c>
      <c r="DC36" s="36"/>
      <c r="DD36" s="36"/>
      <c r="DE36" s="36">
        <f t="shared" si="35"/>
        <v>0</v>
      </c>
      <c r="DF36" s="36">
        <f t="shared" si="50"/>
        <v>0</v>
      </c>
      <c r="DG36" s="36">
        <f t="shared" si="63"/>
        <v>0</v>
      </c>
      <c r="DH36" s="36">
        <f t="shared" si="76"/>
        <v>0</v>
      </c>
      <c r="DI36" s="36">
        <f t="shared" si="91"/>
        <v>0</v>
      </c>
      <c r="DJ36" s="36">
        <f t="shared" si="105"/>
        <v>0</v>
      </c>
      <c r="DK36" s="36">
        <f t="shared" si="119"/>
        <v>0</v>
      </c>
      <c r="DL36" s="36">
        <f t="shared" si="133"/>
        <v>0</v>
      </c>
      <c r="DM36" s="36">
        <f t="shared" si="147"/>
        <v>0</v>
      </c>
      <c r="DN36" s="36">
        <f aca="true" t="shared" si="161" ref="DN36:DN45">$C$36*$DB$36</f>
        <v>0</v>
      </c>
      <c r="DO36" s="47"/>
      <c r="DP36" s="36"/>
      <c r="DQ36" s="36"/>
      <c r="DR36" s="36">
        <f t="shared" si="36"/>
        <v>0</v>
      </c>
      <c r="DS36" s="36">
        <f t="shared" si="51"/>
        <v>0</v>
      </c>
      <c r="DT36" s="36">
        <f t="shared" si="64"/>
        <v>0</v>
      </c>
      <c r="DU36" s="36">
        <f t="shared" si="77"/>
        <v>0</v>
      </c>
      <c r="DV36" s="36">
        <f t="shared" si="92"/>
        <v>0</v>
      </c>
      <c r="DW36" s="36">
        <f t="shared" si="106"/>
        <v>0</v>
      </c>
      <c r="DX36" s="36">
        <f t="shared" si="120"/>
        <v>0</v>
      </c>
      <c r="DY36" s="36">
        <f t="shared" si="134"/>
        <v>0</v>
      </c>
      <c r="DZ36" s="36">
        <f t="shared" si="148"/>
        <v>0</v>
      </c>
      <c r="EA36" s="36">
        <f aca="true" t="shared" si="162" ref="EA36:EA45">$D$36*$DB$36</f>
        <v>0</v>
      </c>
      <c r="EB36" s="47"/>
      <c r="EC36" s="36"/>
      <c r="ED36" s="36"/>
      <c r="EE36" s="36">
        <f t="shared" si="37"/>
        <v>0</v>
      </c>
      <c r="EF36" s="36">
        <f t="shared" si="52"/>
        <v>0</v>
      </c>
      <c r="EG36" s="36">
        <f t="shared" si="65"/>
        <v>0</v>
      </c>
      <c r="EH36" s="36">
        <f t="shared" si="78"/>
        <v>0</v>
      </c>
      <c r="EI36" s="36">
        <f t="shared" si="93"/>
        <v>0</v>
      </c>
      <c r="EJ36" s="36">
        <f t="shared" si="107"/>
        <v>0</v>
      </c>
      <c r="EK36" s="36">
        <f t="shared" si="121"/>
        <v>0</v>
      </c>
      <c r="EL36" s="36">
        <f t="shared" si="135"/>
        <v>0</v>
      </c>
      <c r="EM36" s="36">
        <f t="shared" si="149"/>
        <v>0</v>
      </c>
      <c r="EN36" s="36">
        <f aca="true" t="shared" si="163" ref="EN36:EN45">$E$36*$DB$36</f>
        <v>0</v>
      </c>
      <c r="EO36" s="47"/>
      <c r="EP36" s="36"/>
      <c r="EQ36" s="36"/>
      <c r="ER36" s="36">
        <f t="shared" si="38"/>
        <v>0</v>
      </c>
      <c r="ES36" s="36">
        <f t="shared" si="53"/>
        <v>0</v>
      </c>
      <c r="ET36" s="36">
        <f t="shared" si="66"/>
        <v>0</v>
      </c>
      <c r="EU36" s="36">
        <f t="shared" si="79"/>
        <v>0</v>
      </c>
      <c r="EV36" s="36">
        <f t="shared" si="94"/>
        <v>0</v>
      </c>
      <c r="EW36" s="36">
        <f t="shared" si="108"/>
        <v>0</v>
      </c>
      <c r="EX36" s="36">
        <f t="shared" si="122"/>
        <v>0</v>
      </c>
      <c r="EY36" s="36">
        <f t="shared" si="136"/>
        <v>0</v>
      </c>
      <c r="EZ36" s="36">
        <f t="shared" si="150"/>
        <v>0</v>
      </c>
      <c r="FA36" s="36">
        <f aca="true" t="shared" si="164" ref="FA36:FA45">$F$36*$DB$36</f>
        <v>0</v>
      </c>
      <c r="FB36" s="47"/>
      <c r="FC36" s="36"/>
      <c r="FD36" s="36"/>
      <c r="FE36" s="36">
        <f t="shared" si="39"/>
        <v>0</v>
      </c>
      <c r="FF36" s="36">
        <f t="shared" si="54"/>
        <v>0</v>
      </c>
      <c r="FG36" s="36">
        <f t="shared" si="67"/>
        <v>0</v>
      </c>
      <c r="FH36" s="36">
        <f t="shared" si="80"/>
        <v>0</v>
      </c>
      <c r="FI36" s="36">
        <f t="shared" si="95"/>
        <v>0</v>
      </c>
      <c r="FJ36" s="36">
        <f t="shared" si="109"/>
        <v>0</v>
      </c>
      <c r="FK36" s="36">
        <f t="shared" si="123"/>
        <v>0</v>
      </c>
      <c r="FL36" s="36">
        <f t="shared" si="137"/>
        <v>0</v>
      </c>
      <c r="FM36" s="36">
        <f t="shared" si="151"/>
        <v>0</v>
      </c>
      <c r="FN36" s="36">
        <f aca="true" t="shared" si="165" ref="FN36:FN45">$G$36*$K$21</f>
        <v>0</v>
      </c>
      <c r="FO36" s="47"/>
      <c r="FP36" s="36"/>
      <c r="FQ36" s="36"/>
      <c r="FR36" s="36">
        <f t="shared" si="40"/>
        <v>0</v>
      </c>
      <c r="FS36" s="36">
        <f t="shared" si="55"/>
        <v>0</v>
      </c>
      <c r="FT36" s="36">
        <f t="shared" si="68"/>
        <v>0</v>
      </c>
      <c r="FU36" s="36">
        <f t="shared" si="81"/>
        <v>0</v>
      </c>
      <c r="FV36" s="36">
        <f t="shared" si="96"/>
        <v>0</v>
      </c>
      <c r="FW36" s="36">
        <f t="shared" si="110"/>
        <v>0</v>
      </c>
      <c r="FX36" s="36">
        <f t="shared" si="124"/>
        <v>0</v>
      </c>
      <c r="FY36" s="36">
        <f t="shared" si="138"/>
        <v>0</v>
      </c>
      <c r="FZ36" s="36">
        <f t="shared" si="152"/>
        <v>0</v>
      </c>
      <c r="GA36" s="36">
        <f aca="true" t="shared" si="166" ref="GA36:GA45">$H$36*$K$21</f>
        <v>0</v>
      </c>
      <c r="GB36" s="47"/>
      <c r="GC36" s="36"/>
      <c r="GD36" s="36"/>
      <c r="GE36" s="36">
        <f t="shared" si="41"/>
        <v>0</v>
      </c>
      <c r="GF36" s="36">
        <f t="shared" si="56"/>
        <v>0</v>
      </c>
      <c r="GG36" s="36">
        <f t="shared" si="69"/>
        <v>0</v>
      </c>
      <c r="GH36" s="36">
        <f t="shared" si="82"/>
        <v>0</v>
      </c>
      <c r="GI36" s="36">
        <f t="shared" si="97"/>
        <v>0</v>
      </c>
      <c r="GJ36" s="36">
        <f t="shared" si="111"/>
        <v>0</v>
      </c>
      <c r="GK36" s="36">
        <f t="shared" si="125"/>
        <v>0</v>
      </c>
      <c r="GL36" s="36">
        <f t="shared" si="139"/>
        <v>0</v>
      </c>
      <c r="GM36" s="36">
        <f t="shared" si="153"/>
        <v>0</v>
      </c>
      <c r="GN36" s="36">
        <f aca="true" t="shared" si="167" ref="GN36:GN45">$I$36*$DB$36</f>
        <v>0</v>
      </c>
      <c r="GO36" s="47"/>
      <c r="GP36" s="36">
        <f>SUM(DC36:GO36)</f>
        <v>0</v>
      </c>
      <c r="GQ36" s="38">
        <f>GP36*(1+$E$11)^-17</f>
        <v>0</v>
      </c>
      <c r="GR36" s="38">
        <f t="shared" si="25"/>
        <v>10675539.700000003</v>
      </c>
      <c r="GS36" s="52">
        <f t="shared" si="9"/>
        <v>4657702.609568207</v>
      </c>
      <c r="GT36" s="36"/>
    </row>
    <row r="37" spans="1:202" ht="15.75" customHeight="1">
      <c r="A37" s="9">
        <v>2013</v>
      </c>
      <c r="B37" s="49">
        <v>2020</v>
      </c>
      <c r="C37" s="31">
        <v>509</v>
      </c>
      <c r="D37" s="31">
        <v>172</v>
      </c>
      <c r="E37" s="82" t="s">
        <v>40</v>
      </c>
      <c r="F37" s="82" t="s">
        <v>40</v>
      </c>
      <c r="G37" s="82" t="s">
        <v>40</v>
      </c>
      <c r="H37" s="82" t="s">
        <v>40</v>
      </c>
      <c r="I37" s="82" t="s">
        <v>40</v>
      </c>
      <c r="J37" s="82" t="s">
        <v>40</v>
      </c>
      <c r="K37" s="86">
        <f t="shared" si="11"/>
        <v>681</v>
      </c>
      <c r="L37" s="36">
        <f t="shared" si="26"/>
        <v>297.85</v>
      </c>
      <c r="M37" s="36"/>
      <c r="N37" s="36"/>
      <c r="O37" s="36"/>
      <c r="P37" s="36">
        <f t="shared" si="43"/>
        <v>101269.00000000001</v>
      </c>
      <c r="Q37" s="36">
        <f t="shared" si="70"/>
        <v>106034.6</v>
      </c>
      <c r="R37" s="36">
        <f t="shared" si="83"/>
        <v>110800.20000000001</v>
      </c>
      <c r="S37" s="36">
        <f t="shared" si="98"/>
        <v>115863.65000000001</v>
      </c>
      <c r="T37" s="36">
        <f t="shared" si="112"/>
        <v>121224.95000000001</v>
      </c>
      <c r="U37" s="36">
        <f t="shared" si="126"/>
        <v>126884.1</v>
      </c>
      <c r="V37" s="36">
        <f t="shared" si="140"/>
        <v>132543.25</v>
      </c>
      <c r="W37" s="36">
        <f t="shared" si="154"/>
        <v>138500.25</v>
      </c>
      <c r="X37" s="36">
        <f aca="true" t="shared" si="168" ref="X37:X45">$C$36*$L$36</f>
        <v>144755.1</v>
      </c>
      <c r="Y37" s="47">
        <f>$C$37*$L$37</f>
        <v>151605.65000000002</v>
      </c>
      <c r="Z37" s="36"/>
      <c r="AA37" s="36"/>
      <c r="AB37" s="36"/>
      <c r="AC37" s="36">
        <f t="shared" si="57"/>
        <v>39316.200000000004</v>
      </c>
      <c r="AD37" s="36">
        <f t="shared" si="71"/>
        <v>40507.600000000006</v>
      </c>
      <c r="AE37" s="36">
        <f t="shared" si="84"/>
        <v>41699</v>
      </c>
      <c r="AF37" s="36">
        <f t="shared" si="99"/>
        <v>42890.4</v>
      </c>
      <c r="AG37" s="36">
        <f t="shared" si="113"/>
        <v>44081.8</v>
      </c>
      <c r="AH37" s="36">
        <f t="shared" si="127"/>
        <v>45571.05</v>
      </c>
      <c r="AI37" s="36">
        <f t="shared" si="141"/>
        <v>46762.450000000004</v>
      </c>
      <c r="AJ37" s="36">
        <f t="shared" si="155"/>
        <v>48251.700000000004</v>
      </c>
      <c r="AK37" s="36">
        <f aca="true" t="shared" si="169" ref="AK37:AK45">$D$36*$L$36</f>
        <v>49740.950000000004</v>
      </c>
      <c r="AL37" s="47">
        <f>$D$37*$L$37</f>
        <v>51230.200000000004</v>
      </c>
      <c r="AM37" s="36"/>
      <c r="AN37" s="36"/>
      <c r="AO37" s="36"/>
      <c r="AP37" s="36">
        <f t="shared" si="58"/>
        <v>467922.35000000003</v>
      </c>
      <c r="AQ37" s="36">
        <f t="shared" si="72"/>
        <v>492048.2</v>
      </c>
      <c r="AR37" s="36">
        <f t="shared" si="85"/>
        <v>517663.30000000005</v>
      </c>
      <c r="AS37" s="36">
        <f t="shared" si="100"/>
        <v>544767.65</v>
      </c>
      <c r="AT37" s="36">
        <f t="shared" si="114"/>
        <v>573063.4</v>
      </c>
      <c r="AU37" s="36">
        <f t="shared" si="128"/>
        <v>602848.4</v>
      </c>
      <c r="AV37" s="36">
        <f t="shared" si="142"/>
        <v>634122.65</v>
      </c>
      <c r="AW37" s="36">
        <f t="shared" si="156"/>
        <v>667184</v>
      </c>
      <c r="AX37" s="36">
        <f aca="true" t="shared" si="170" ref="AX37:AX45">$E$36*$L$36</f>
        <v>701734.6000000001</v>
      </c>
      <c r="AY37" s="47">
        <v>0</v>
      </c>
      <c r="AZ37" s="9"/>
      <c r="BA37" s="36"/>
      <c r="BB37" s="36"/>
      <c r="BC37" s="36">
        <f t="shared" si="59"/>
        <v>156073.40000000002</v>
      </c>
      <c r="BD37" s="36">
        <f t="shared" si="73"/>
        <v>164115.35</v>
      </c>
      <c r="BE37" s="36">
        <f t="shared" si="86"/>
        <v>172455.15000000002</v>
      </c>
      <c r="BF37" s="36">
        <f t="shared" si="101"/>
        <v>181688.5</v>
      </c>
      <c r="BG37" s="36">
        <f t="shared" si="115"/>
        <v>190921.85</v>
      </c>
      <c r="BH37" s="36">
        <f t="shared" si="129"/>
        <v>201048.75000000003</v>
      </c>
      <c r="BI37" s="36">
        <f t="shared" si="143"/>
        <v>211473.50000000003</v>
      </c>
      <c r="BJ37" s="36">
        <f t="shared" si="157"/>
        <v>222493.95</v>
      </c>
      <c r="BK37" s="36">
        <f aca="true" t="shared" si="171" ref="BK37:BK45">$F$36*$L$36</f>
        <v>233812.25000000003</v>
      </c>
      <c r="BL37" s="47">
        <v>0</v>
      </c>
      <c r="BM37" s="36"/>
      <c r="BN37" s="36"/>
      <c r="BO37" s="36"/>
      <c r="BP37" s="36">
        <f t="shared" si="60"/>
        <v>56293.65</v>
      </c>
      <c r="BQ37" s="36">
        <f t="shared" si="74"/>
        <v>62250.65</v>
      </c>
      <c r="BR37" s="36">
        <f t="shared" si="87"/>
        <v>68505.5</v>
      </c>
      <c r="BS37" s="36">
        <f t="shared" si="102"/>
        <v>75653.90000000001</v>
      </c>
      <c r="BT37" s="36">
        <f t="shared" si="116"/>
        <v>83100.15000000001</v>
      </c>
      <c r="BU37" s="36">
        <f t="shared" si="130"/>
        <v>91737.8</v>
      </c>
      <c r="BV37" s="36">
        <f t="shared" si="144"/>
        <v>100971.15000000001</v>
      </c>
      <c r="BW37" s="36">
        <f t="shared" si="158"/>
        <v>111395.90000000001</v>
      </c>
      <c r="BX37" s="36">
        <f aca="true" t="shared" si="172" ref="BX37:BX45">$G$36*$L$36</f>
        <v>122714.20000000001</v>
      </c>
      <c r="BY37" s="47">
        <v>0</v>
      </c>
      <c r="BZ37" s="36"/>
      <c r="CA37" s="36"/>
      <c r="CB37" s="36"/>
      <c r="CC37" s="36">
        <f t="shared" si="61"/>
        <v>18764.550000000003</v>
      </c>
      <c r="CD37" s="36">
        <f t="shared" si="75"/>
        <v>20849.5</v>
      </c>
      <c r="CE37" s="36">
        <f t="shared" si="88"/>
        <v>22934.45</v>
      </c>
      <c r="CF37" s="36">
        <f t="shared" si="103"/>
        <v>25317.250000000004</v>
      </c>
      <c r="CG37" s="36">
        <f t="shared" si="117"/>
        <v>27700.050000000003</v>
      </c>
      <c r="CH37" s="36">
        <f t="shared" si="131"/>
        <v>30678.550000000003</v>
      </c>
      <c r="CI37" s="36">
        <f t="shared" si="145"/>
        <v>33657.05</v>
      </c>
      <c r="CJ37" s="36">
        <f t="shared" si="159"/>
        <v>37231.25</v>
      </c>
      <c r="CK37" s="36">
        <f aca="true" t="shared" si="173" ref="CK37:CK45">$H$36*$L$36</f>
        <v>40805.450000000004</v>
      </c>
      <c r="CL37" s="47">
        <v>0</v>
      </c>
      <c r="CM37" s="36"/>
      <c r="CN37" s="36"/>
      <c r="CO37" s="36"/>
      <c r="CP37" s="36">
        <f t="shared" si="62"/>
        <v>34550.600000000006</v>
      </c>
      <c r="CQ37" s="36">
        <f t="shared" si="89"/>
        <v>36337.700000000004</v>
      </c>
      <c r="CR37" s="36">
        <f t="shared" si="90"/>
        <v>38124.8</v>
      </c>
      <c r="CS37" s="36">
        <f t="shared" si="104"/>
        <v>40209.75</v>
      </c>
      <c r="CT37" s="36">
        <f t="shared" si="118"/>
        <v>42294.700000000004</v>
      </c>
      <c r="CU37" s="36">
        <f t="shared" si="132"/>
        <v>44379.65</v>
      </c>
      <c r="CV37" s="36">
        <f t="shared" si="146"/>
        <v>46762.450000000004</v>
      </c>
      <c r="CW37" s="36">
        <f t="shared" si="160"/>
        <v>49145.25000000001</v>
      </c>
      <c r="CX37" s="36">
        <f aca="true" t="shared" si="174" ref="CX37:CX45">$I$36*$L$36</f>
        <v>51825.9</v>
      </c>
      <c r="CY37" s="36">
        <v>0</v>
      </c>
      <c r="CZ37" s="36">
        <f t="shared" si="1"/>
        <v>10049161.150000002</v>
      </c>
      <c r="DA37" s="38">
        <f>CZ37*(1+$E$10)^-18</f>
        <v>4175634.021916871</v>
      </c>
      <c r="DB37" s="78">
        <f t="shared" si="34"/>
        <v>0</v>
      </c>
      <c r="DC37" s="36"/>
      <c r="DD37" s="36"/>
      <c r="DE37" s="36"/>
      <c r="DF37" s="36">
        <f t="shared" si="50"/>
        <v>0</v>
      </c>
      <c r="DG37" s="36">
        <f t="shared" si="63"/>
        <v>0</v>
      </c>
      <c r="DH37" s="36">
        <f t="shared" si="76"/>
        <v>0</v>
      </c>
      <c r="DI37" s="36">
        <f t="shared" si="91"/>
        <v>0</v>
      </c>
      <c r="DJ37" s="36">
        <f t="shared" si="105"/>
        <v>0</v>
      </c>
      <c r="DK37" s="36">
        <f t="shared" si="119"/>
        <v>0</v>
      </c>
      <c r="DL37" s="36">
        <f t="shared" si="133"/>
        <v>0</v>
      </c>
      <c r="DM37" s="36">
        <f t="shared" si="147"/>
        <v>0</v>
      </c>
      <c r="DN37" s="36">
        <f t="shared" si="161"/>
        <v>0</v>
      </c>
      <c r="DO37" s="47">
        <f aca="true" t="shared" si="175" ref="DO37:DO46">$C$37*$DB$37</f>
        <v>0</v>
      </c>
      <c r="DP37" s="36"/>
      <c r="DQ37" s="36"/>
      <c r="DR37" s="36"/>
      <c r="DS37" s="36">
        <f t="shared" si="51"/>
        <v>0</v>
      </c>
      <c r="DT37" s="36">
        <f t="shared" si="64"/>
        <v>0</v>
      </c>
      <c r="DU37" s="36">
        <f t="shared" si="77"/>
        <v>0</v>
      </c>
      <c r="DV37" s="36">
        <f t="shared" si="92"/>
        <v>0</v>
      </c>
      <c r="DW37" s="36">
        <f t="shared" si="106"/>
        <v>0</v>
      </c>
      <c r="DX37" s="36">
        <f t="shared" si="120"/>
        <v>0</v>
      </c>
      <c r="DY37" s="36">
        <f t="shared" si="134"/>
        <v>0</v>
      </c>
      <c r="DZ37" s="36">
        <f t="shared" si="148"/>
        <v>0</v>
      </c>
      <c r="EA37" s="36">
        <f t="shared" si="162"/>
        <v>0</v>
      </c>
      <c r="EB37" s="47">
        <f aca="true" t="shared" si="176" ref="EB37:EB46">$D$37*$DB$37</f>
        <v>0</v>
      </c>
      <c r="EC37" s="36"/>
      <c r="ED37" s="36"/>
      <c r="EE37" s="36"/>
      <c r="EF37" s="36">
        <f t="shared" si="52"/>
        <v>0</v>
      </c>
      <c r="EG37" s="36">
        <f t="shared" si="65"/>
        <v>0</v>
      </c>
      <c r="EH37" s="36">
        <f t="shared" si="78"/>
        <v>0</v>
      </c>
      <c r="EI37" s="36">
        <f t="shared" si="93"/>
        <v>0</v>
      </c>
      <c r="EJ37" s="36">
        <f t="shared" si="107"/>
        <v>0</v>
      </c>
      <c r="EK37" s="36">
        <f t="shared" si="121"/>
        <v>0</v>
      </c>
      <c r="EL37" s="36">
        <f t="shared" si="135"/>
        <v>0</v>
      </c>
      <c r="EM37" s="36">
        <f t="shared" si="149"/>
        <v>0</v>
      </c>
      <c r="EN37" s="36">
        <f t="shared" si="163"/>
        <v>0</v>
      </c>
      <c r="EO37" s="47">
        <v>0</v>
      </c>
      <c r="EP37" s="9"/>
      <c r="EQ37" s="36"/>
      <c r="ER37" s="36"/>
      <c r="ES37" s="36">
        <f t="shared" si="53"/>
        <v>0</v>
      </c>
      <c r="ET37" s="36">
        <f t="shared" si="66"/>
        <v>0</v>
      </c>
      <c r="EU37" s="36">
        <f t="shared" si="79"/>
        <v>0</v>
      </c>
      <c r="EV37" s="36">
        <f t="shared" si="94"/>
        <v>0</v>
      </c>
      <c r="EW37" s="36">
        <f t="shared" si="108"/>
        <v>0</v>
      </c>
      <c r="EX37" s="36">
        <f t="shared" si="122"/>
        <v>0</v>
      </c>
      <c r="EY37" s="36">
        <f t="shared" si="136"/>
        <v>0</v>
      </c>
      <c r="EZ37" s="36">
        <f t="shared" si="150"/>
        <v>0</v>
      </c>
      <c r="FA37" s="36">
        <f t="shared" si="164"/>
        <v>0</v>
      </c>
      <c r="FB37" s="47">
        <v>0</v>
      </c>
      <c r="FC37" s="36"/>
      <c r="FD37" s="36"/>
      <c r="FE37" s="36"/>
      <c r="FF37" s="36">
        <f t="shared" si="54"/>
        <v>0</v>
      </c>
      <c r="FG37" s="36">
        <f t="shared" si="67"/>
        <v>0</v>
      </c>
      <c r="FH37" s="36">
        <f t="shared" si="80"/>
        <v>0</v>
      </c>
      <c r="FI37" s="36">
        <f t="shared" si="95"/>
        <v>0</v>
      </c>
      <c r="FJ37" s="36">
        <f t="shared" si="109"/>
        <v>0</v>
      </c>
      <c r="FK37" s="36">
        <f t="shared" si="123"/>
        <v>0</v>
      </c>
      <c r="FL37" s="36">
        <f t="shared" si="137"/>
        <v>0</v>
      </c>
      <c r="FM37" s="36">
        <f t="shared" si="151"/>
        <v>0</v>
      </c>
      <c r="FN37" s="36">
        <f t="shared" si="165"/>
        <v>0</v>
      </c>
      <c r="FO37" s="47">
        <v>0</v>
      </c>
      <c r="FP37" s="36"/>
      <c r="FQ37" s="36"/>
      <c r="FR37" s="36"/>
      <c r="FS37" s="36">
        <f t="shared" si="55"/>
        <v>0</v>
      </c>
      <c r="FT37" s="36">
        <f t="shared" si="68"/>
        <v>0</v>
      </c>
      <c r="FU37" s="36">
        <f t="shared" si="81"/>
        <v>0</v>
      </c>
      <c r="FV37" s="36">
        <f t="shared" si="96"/>
        <v>0</v>
      </c>
      <c r="FW37" s="36">
        <f t="shared" si="110"/>
        <v>0</v>
      </c>
      <c r="FX37" s="36">
        <f t="shared" si="124"/>
        <v>0</v>
      </c>
      <c r="FY37" s="36">
        <f t="shared" si="138"/>
        <v>0</v>
      </c>
      <c r="FZ37" s="36">
        <f t="shared" si="152"/>
        <v>0</v>
      </c>
      <c r="GA37" s="36">
        <f t="shared" si="166"/>
        <v>0</v>
      </c>
      <c r="GB37" s="47">
        <v>0</v>
      </c>
      <c r="GC37" s="36"/>
      <c r="GD37" s="36"/>
      <c r="GE37" s="36"/>
      <c r="GF37" s="36">
        <f t="shared" si="56"/>
        <v>0</v>
      </c>
      <c r="GG37" s="36">
        <f t="shared" si="69"/>
        <v>0</v>
      </c>
      <c r="GH37" s="36">
        <f t="shared" si="82"/>
        <v>0</v>
      </c>
      <c r="GI37" s="36">
        <f t="shared" si="97"/>
        <v>0</v>
      </c>
      <c r="GJ37" s="36">
        <f t="shared" si="111"/>
        <v>0</v>
      </c>
      <c r="GK37" s="36">
        <f t="shared" si="125"/>
        <v>0</v>
      </c>
      <c r="GL37" s="36">
        <f t="shared" si="139"/>
        <v>0</v>
      </c>
      <c r="GM37" s="36">
        <f t="shared" si="153"/>
        <v>0</v>
      </c>
      <c r="GN37" s="36">
        <f t="shared" si="167"/>
        <v>0</v>
      </c>
      <c r="GO37" s="47">
        <v>0</v>
      </c>
      <c r="GP37" s="36">
        <f>SUM(DC37:GO37)</f>
        <v>0</v>
      </c>
      <c r="GQ37" s="38">
        <f>GP37*(1+$E$11)^-18</f>
        <v>0</v>
      </c>
      <c r="GR37" s="38">
        <f t="shared" si="25"/>
        <v>10049161.150000002</v>
      </c>
      <c r="GS37" s="52">
        <f t="shared" si="9"/>
        <v>4175634.021916871</v>
      </c>
      <c r="GT37" s="36"/>
    </row>
    <row r="38" spans="1:202" ht="18">
      <c r="A38" s="9"/>
      <c r="B38" s="49">
        <v>2021</v>
      </c>
      <c r="C38" s="79" t="s">
        <v>40</v>
      </c>
      <c r="D38" s="79" t="s">
        <v>40</v>
      </c>
      <c r="E38" s="79" t="s">
        <v>40</v>
      </c>
      <c r="F38" s="79" t="s">
        <v>40</v>
      </c>
      <c r="G38" s="79" t="s">
        <v>40</v>
      </c>
      <c r="H38" s="79" t="s">
        <v>40</v>
      </c>
      <c r="I38" s="79" t="s">
        <v>40</v>
      </c>
      <c r="J38" s="79" t="s">
        <v>40</v>
      </c>
      <c r="K38" s="80" t="s">
        <v>40</v>
      </c>
      <c r="L38" s="36"/>
      <c r="M38" s="36"/>
      <c r="N38" s="36"/>
      <c r="O38" s="36"/>
      <c r="P38" s="36"/>
      <c r="Q38" s="36">
        <f t="shared" si="70"/>
        <v>106034.6</v>
      </c>
      <c r="R38" s="36">
        <f t="shared" si="83"/>
        <v>110800.20000000001</v>
      </c>
      <c r="S38" s="36">
        <f t="shared" si="98"/>
        <v>115863.65000000001</v>
      </c>
      <c r="T38" s="36">
        <f t="shared" si="112"/>
        <v>121224.95000000001</v>
      </c>
      <c r="U38" s="36">
        <f t="shared" si="126"/>
        <v>126884.1</v>
      </c>
      <c r="V38" s="36">
        <f t="shared" si="140"/>
        <v>132543.25</v>
      </c>
      <c r="W38" s="36">
        <f t="shared" si="154"/>
        <v>138500.25</v>
      </c>
      <c r="X38" s="36">
        <f t="shared" si="168"/>
        <v>144755.1</v>
      </c>
      <c r="Y38" s="47">
        <f aca="true" t="shared" si="177" ref="Y38:Y46">$C$37*$L$37</f>
        <v>151605.65000000002</v>
      </c>
      <c r="Z38" s="36"/>
      <c r="AA38" s="36"/>
      <c r="AB38" s="36"/>
      <c r="AC38" s="36"/>
      <c r="AD38" s="36">
        <f t="shared" si="71"/>
        <v>40507.600000000006</v>
      </c>
      <c r="AE38" s="36">
        <f t="shared" si="84"/>
        <v>41699</v>
      </c>
      <c r="AF38" s="36">
        <f t="shared" si="99"/>
        <v>42890.4</v>
      </c>
      <c r="AG38" s="36">
        <f t="shared" si="113"/>
        <v>44081.8</v>
      </c>
      <c r="AH38" s="36">
        <f t="shared" si="127"/>
        <v>45571.05</v>
      </c>
      <c r="AI38" s="36">
        <f t="shared" si="141"/>
        <v>46762.450000000004</v>
      </c>
      <c r="AJ38" s="36">
        <f t="shared" si="155"/>
        <v>48251.700000000004</v>
      </c>
      <c r="AK38" s="36">
        <f t="shared" si="169"/>
        <v>49740.950000000004</v>
      </c>
      <c r="AL38" s="47">
        <f aca="true" t="shared" si="178" ref="AL38:AL46">$D$37*$L$37</f>
        <v>51230.200000000004</v>
      </c>
      <c r="AM38" s="36"/>
      <c r="AN38" s="36"/>
      <c r="AO38" s="36"/>
      <c r="AP38" s="36"/>
      <c r="AQ38" s="36">
        <f t="shared" si="72"/>
        <v>492048.2</v>
      </c>
      <c r="AR38" s="36">
        <f t="shared" si="85"/>
        <v>517663.30000000005</v>
      </c>
      <c r="AS38" s="36">
        <f t="shared" si="100"/>
        <v>544767.65</v>
      </c>
      <c r="AT38" s="36">
        <f t="shared" si="114"/>
        <v>573063.4</v>
      </c>
      <c r="AU38" s="36">
        <f t="shared" si="128"/>
        <v>602848.4</v>
      </c>
      <c r="AV38" s="36">
        <f t="shared" si="142"/>
        <v>634122.65</v>
      </c>
      <c r="AW38" s="36">
        <f t="shared" si="156"/>
        <v>667184</v>
      </c>
      <c r="AX38" s="36">
        <f t="shared" si="170"/>
        <v>701734.6000000001</v>
      </c>
      <c r="AY38" s="47">
        <v>0</v>
      </c>
      <c r="AZ38" s="9"/>
      <c r="BA38" s="36"/>
      <c r="BB38" s="36"/>
      <c r="BC38" s="36"/>
      <c r="BD38" s="36">
        <f t="shared" si="73"/>
        <v>164115.35</v>
      </c>
      <c r="BE38" s="36">
        <f t="shared" si="86"/>
        <v>172455.15000000002</v>
      </c>
      <c r="BF38" s="36">
        <f t="shared" si="101"/>
        <v>181688.5</v>
      </c>
      <c r="BG38" s="36">
        <f t="shared" si="115"/>
        <v>190921.85</v>
      </c>
      <c r="BH38" s="36">
        <f t="shared" si="129"/>
        <v>201048.75000000003</v>
      </c>
      <c r="BI38" s="36">
        <f t="shared" si="143"/>
        <v>211473.50000000003</v>
      </c>
      <c r="BJ38" s="36">
        <f t="shared" si="157"/>
        <v>222493.95</v>
      </c>
      <c r="BK38" s="36">
        <f t="shared" si="171"/>
        <v>233812.25000000003</v>
      </c>
      <c r="BL38" s="47">
        <v>0</v>
      </c>
      <c r="BM38" s="36"/>
      <c r="BN38" s="36"/>
      <c r="BO38" s="36"/>
      <c r="BP38" s="36"/>
      <c r="BQ38" s="36">
        <f t="shared" si="74"/>
        <v>62250.65</v>
      </c>
      <c r="BR38" s="36">
        <f t="shared" si="87"/>
        <v>68505.5</v>
      </c>
      <c r="BS38" s="36">
        <f t="shared" si="102"/>
        <v>75653.90000000001</v>
      </c>
      <c r="BT38" s="36">
        <f t="shared" si="116"/>
        <v>83100.15000000001</v>
      </c>
      <c r="BU38" s="36">
        <f t="shared" si="130"/>
        <v>91737.8</v>
      </c>
      <c r="BV38" s="36">
        <f t="shared" si="144"/>
        <v>100971.15000000001</v>
      </c>
      <c r="BW38" s="36">
        <f t="shared" si="158"/>
        <v>111395.90000000001</v>
      </c>
      <c r="BX38" s="36">
        <f t="shared" si="172"/>
        <v>122714.20000000001</v>
      </c>
      <c r="BY38" s="47">
        <v>0</v>
      </c>
      <c r="BZ38" s="36"/>
      <c r="CA38" s="36"/>
      <c r="CB38" s="36"/>
      <c r="CC38" s="36"/>
      <c r="CD38" s="36">
        <f t="shared" si="75"/>
        <v>20849.5</v>
      </c>
      <c r="CE38" s="36">
        <f t="shared" si="88"/>
        <v>22934.45</v>
      </c>
      <c r="CF38" s="36">
        <f t="shared" si="103"/>
        <v>25317.250000000004</v>
      </c>
      <c r="CG38" s="36">
        <f t="shared" si="117"/>
        <v>27700.050000000003</v>
      </c>
      <c r="CH38" s="36">
        <f t="shared" si="131"/>
        <v>30678.550000000003</v>
      </c>
      <c r="CI38" s="36">
        <f t="shared" si="145"/>
        <v>33657.05</v>
      </c>
      <c r="CJ38" s="36">
        <f t="shared" si="159"/>
        <v>37231.25</v>
      </c>
      <c r="CK38" s="36">
        <f t="shared" si="173"/>
        <v>40805.450000000004</v>
      </c>
      <c r="CL38" s="47">
        <v>0</v>
      </c>
      <c r="CM38" s="36"/>
      <c r="CN38" s="36"/>
      <c r="CO38" s="36"/>
      <c r="CP38" s="36"/>
      <c r="CQ38" s="36">
        <f t="shared" si="89"/>
        <v>36337.700000000004</v>
      </c>
      <c r="CR38" s="36">
        <f t="shared" si="90"/>
        <v>38124.8</v>
      </c>
      <c r="CS38" s="36">
        <f t="shared" si="104"/>
        <v>40209.75</v>
      </c>
      <c r="CT38" s="36">
        <f t="shared" si="118"/>
        <v>42294.700000000004</v>
      </c>
      <c r="CU38" s="36">
        <f t="shared" si="132"/>
        <v>44379.65</v>
      </c>
      <c r="CV38" s="36">
        <f t="shared" si="146"/>
        <v>46762.450000000004</v>
      </c>
      <c r="CW38" s="36">
        <f t="shared" si="160"/>
        <v>49145.25000000001</v>
      </c>
      <c r="CX38" s="36">
        <f t="shared" si="174"/>
        <v>51825.9</v>
      </c>
      <c r="CY38" s="36">
        <v>0</v>
      </c>
      <c r="CZ38" s="36">
        <f t="shared" si="1"/>
        <v>9174971.4</v>
      </c>
      <c r="DA38" s="38">
        <f>CZ38*(1+$E$10)^-19</f>
        <v>3630847.7376365988</v>
      </c>
      <c r="DB38" s="78"/>
      <c r="DC38" s="36"/>
      <c r="DD38" s="36"/>
      <c r="DE38" s="36"/>
      <c r="DF38" s="36"/>
      <c r="DG38" s="36">
        <f t="shared" si="63"/>
        <v>0</v>
      </c>
      <c r="DH38" s="36">
        <f t="shared" si="76"/>
        <v>0</v>
      </c>
      <c r="DI38" s="36">
        <f t="shared" si="91"/>
        <v>0</v>
      </c>
      <c r="DJ38" s="36">
        <f t="shared" si="105"/>
        <v>0</v>
      </c>
      <c r="DK38" s="36">
        <f t="shared" si="119"/>
        <v>0</v>
      </c>
      <c r="DL38" s="36">
        <f t="shared" si="133"/>
        <v>0</v>
      </c>
      <c r="DM38" s="36">
        <f t="shared" si="147"/>
        <v>0</v>
      </c>
      <c r="DN38" s="36">
        <f t="shared" si="161"/>
        <v>0</v>
      </c>
      <c r="DO38" s="47">
        <f t="shared" si="175"/>
        <v>0</v>
      </c>
      <c r="DP38" s="36"/>
      <c r="DQ38" s="36"/>
      <c r="DR38" s="36"/>
      <c r="DS38" s="36"/>
      <c r="DT38" s="36">
        <f t="shared" si="64"/>
        <v>0</v>
      </c>
      <c r="DU38" s="36">
        <f t="shared" si="77"/>
        <v>0</v>
      </c>
      <c r="DV38" s="36">
        <f t="shared" si="92"/>
        <v>0</v>
      </c>
      <c r="DW38" s="36">
        <f t="shared" si="106"/>
        <v>0</v>
      </c>
      <c r="DX38" s="36">
        <f t="shared" si="120"/>
        <v>0</v>
      </c>
      <c r="DY38" s="36">
        <f t="shared" si="134"/>
        <v>0</v>
      </c>
      <c r="DZ38" s="36">
        <f t="shared" si="148"/>
        <v>0</v>
      </c>
      <c r="EA38" s="36">
        <f t="shared" si="162"/>
        <v>0</v>
      </c>
      <c r="EB38" s="47">
        <f t="shared" si="176"/>
        <v>0</v>
      </c>
      <c r="EC38" s="36"/>
      <c r="ED38" s="36"/>
      <c r="EE38" s="36"/>
      <c r="EF38" s="36"/>
      <c r="EG38" s="36">
        <f t="shared" si="65"/>
        <v>0</v>
      </c>
      <c r="EH38" s="36">
        <f t="shared" si="78"/>
        <v>0</v>
      </c>
      <c r="EI38" s="36">
        <f t="shared" si="93"/>
        <v>0</v>
      </c>
      <c r="EJ38" s="36">
        <f t="shared" si="107"/>
        <v>0</v>
      </c>
      <c r="EK38" s="36">
        <f t="shared" si="121"/>
        <v>0</v>
      </c>
      <c r="EL38" s="36">
        <f t="shared" si="135"/>
        <v>0</v>
      </c>
      <c r="EM38" s="36">
        <f t="shared" si="149"/>
        <v>0</v>
      </c>
      <c r="EN38" s="36">
        <f t="shared" si="163"/>
        <v>0</v>
      </c>
      <c r="EO38" s="47">
        <v>0</v>
      </c>
      <c r="EP38" s="9"/>
      <c r="EQ38" s="36"/>
      <c r="ER38" s="36"/>
      <c r="ES38" s="36"/>
      <c r="ET38" s="36">
        <f t="shared" si="66"/>
        <v>0</v>
      </c>
      <c r="EU38" s="36">
        <f t="shared" si="79"/>
        <v>0</v>
      </c>
      <c r="EV38" s="36">
        <f t="shared" si="94"/>
        <v>0</v>
      </c>
      <c r="EW38" s="36">
        <f t="shared" si="108"/>
        <v>0</v>
      </c>
      <c r="EX38" s="36">
        <f t="shared" si="122"/>
        <v>0</v>
      </c>
      <c r="EY38" s="36">
        <f t="shared" si="136"/>
        <v>0</v>
      </c>
      <c r="EZ38" s="36">
        <f t="shared" si="150"/>
        <v>0</v>
      </c>
      <c r="FA38" s="36">
        <f t="shared" si="164"/>
        <v>0</v>
      </c>
      <c r="FB38" s="47">
        <v>0</v>
      </c>
      <c r="FC38" s="36"/>
      <c r="FD38" s="36"/>
      <c r="FE38" s="36"/>
      <c r="FF38" s="36"/>
      <c r="FG38" s="36">
        <f t="shared" si="67"/>
        <v>0</v>
      </c>
      <c r="FH38" s="36">
        <f t="shared" si="80"/>
        <v>0</v>
      </c>
      <c r="FI38" s="36">
        <f t="shared" si="95"/>
        <v>0</v>
      </c>
      <c r="FJ38" s="36">
        <f t="shared" si="109"/>
        <v>0</v>
      </c>
      <c r="FK38" s="36">
        <f t="shared" si="123"/>
        <v>0</v>
      </c>
      <c r="FL38" s="36">
        <f t="shared" si="137"/>
        <v>0</v>
      </c>
      <c r="FM38" s="36">
        <f t="shared" si="151"/>
        <v>0</v>
      </c>
      <c r="FN38" s="36">
        <f t="shared" si="165"/>
        <v>0</v>
      </c>
      <c r="FO38" s="47">
        <v>0</v>
      </c>
      <c r="FP38" s="36"/>
      <c r="FQ38" s="36"/>
      <c r="FR38" s="36"/>
      <c r="FS38" s="36"/>
      <c r="FT38" s="36">
        <f t="shared" si="68"/>
        <v>0</v>
      </c>
      <c r="FU38" s="36">
        <f t="shared" si="81"/>
        <v>0</v>
      </c>
      <c r="FV38" s="36">
        <f t="shared" si="96"/>
        <v>0</v>
      </c>
      <c r="FW38" s="36">
        <f t="shared" si="110"/>
        <v>0</v>
      </c>
      <c r="FX38" s="36">
        <f t="shared" si="124"/>
        <v>0</v>
      </c>
      <c r="FY38" s="36">
        <f t="shared" si="138"/>
        <v>0</v>
      </c>
      <c r="FZ38" s="36">
        <f t="shared" si="152"/>
        <v>0</v>
      </c>
      <c r="GA38" s="36">
        <f t="shared" si="166"/>
        <v>0</v>
      </c>
      <c r="GB38" s="47">
        <v>0</v>
      </c>
      <c r="GC38" s="36"/>
      <c r="GD38" s="36"/>
      <c r="GE38" s="36"/>
      <c r="GF38" s="36"/>
      <c r="GG38" s="36">
        <f t="shared" si="69"/>
        <v>0</v>
      </c>
      <c r="GH38" s="36">
        <f t="shared" si="82"/>
        <v>0</v>
      </c>
      <c r="GI38" s="36">
        <f t="shared" si="97"/>
        <v>0</v>
      </c>
      <c r="GJ38" s="36">
        <f t="shared" si="111"/>
        <v>0</v>
      </c>
      <c r="GK38" s="36">
        <f t="shared" si="125"/>
        <v>0</v>
      </c>
      <c r="GL38" s="36">
        <f t="shared" si="139"/>
        <v>0</v>
      </c>
      <c r="GM38" s="36">
        <f t="shared" si="153"/>
        <v>0</v>
      </c>
      <c r="GN38" s="36">
        <f t="shared" si="167"/>
        <v>0</v>
      </c>
      <c r="GO38" s="47">
        <v>0</v>
      </c>
      <c r="GP38" s="36">
        <f>SUM(DC38:GO38)</f>
        <v>0</v>
      </c>
      <c r="GQ38" s="38">
        <f>GP38*(1+$E$11)^-19</f>
        <v>0</v>
      </c>
      <c r="GR38" s="38">
        <f t="shared" si="25"/>
        <v>9174971.4</v>
      </c>
      <c r="GS38" s="52">
        <f t="shared" si="9"/>
        <v>3630847.7376365988</v>
      </c>
      <c r="GT38" s="36"/>
    </row>
    <row r="39" spans="1:202" ht="15.75" customHeight="1">
      <c r="A39" s="9"/>
      <c r="B39" s="49">
        <v>2022</v>
      </c>
      <c r="C39" s="79" t="s">
        <v>40</v>
      </c>
      <c r="D39" s="79" t="s">
        <v>40</v>
      </c>
      <c r="E39" s="79" t="s">
        <v>40</v>
      </c>
      <c r="F39" s="79" t="s">
        <v>40</v>
      </c>
      <c r="G39" s="79" t="s">
        <v>40</v>
      </c>
      <c r="H39" s="79" t="s">
        <v>40</v>
      </c>
      <c r="I39" s="79" t="s">
        <v>40</v>
      </c>
      <c r="J39" s="79" t="s">
        <v>40</v>
      </c>
      <c r="K39" s="80" t="s">
        <v>40</v>
      </c>
      <c r="L39" s="36"/>
      <c r="M39" s="36"/>
      <c r="N39" s="36"/>
      <c r="O39" s="36"/>
      <c r="P39" s="36"/>
      <c r="Q39" s="36"/>
      <c r="R39" s="36">
        <f t="shared" si="83"/>
        <v>110800.20000000001</v>
      </c>
      <c r="S39" s="36">
        <f t="shared" si="98"/>
        <v>115863.65000000001</v>
      </c>
      <c r="T39" s="36">
        <f t="shared" si="112"/>
        <v>121224.95000000001</v>
      </c>
      <c r="U39" s="36">
        <f t="shared" si="126"/>
        <v>126884.1</v>
      </c>
      <c r="V39" s="36">
        <f t="shared" si="140"/>
        <v>132543.25</v>
      </c>
      <c r="W39" s="36">
        <f t="shared" si="154"/>
        <v>138500.25</v>
      </c>
      <c r="X39" s="36">
        <f t="shared" si="168"/>
        <v>144755.1</v>
      </c>
      <c r="Y39" s="47">
        <f t="shared" si="177"/>
        <v>151605.65000000002</v>
      </c>
      <c r="Z39" s="36"/>
      <c r="AA39" s="36"/>
      <c r="AB39" s="36"/>
      <c r="AC39" s="36"/>
      <c r="AD39" s="36"/>
      <c r="AE39" s="36">
        <f t="shared" si="84"/>
        <v>41699</v>
      </c>
      <c r="AF39" s="36">
        <f t="shared" si="99"/>
        <v>42890.4</v>
      </c>
      <c r="AG39" s="36">
        <f t="shared" si="113"/>
        <v>44081.8</v>
      </c>
      <c r="AH39" s="36">
        <f t="shared" si="127"/>
        <v>45571.05</v>
      </c>
      <c r="AI39" s="36">
        <f t="shared" si="141"/>
        <v>46762.450000000004</v>
      </c>
      <c r="AJ39" s="36">
        <f t="shared" si="155"/>
        <v>48251.700000000004</v>
      </c>
      <c r="AK39" s="36">
        <f t="shared" si="169"/>
        <v>49740.950000000004</v>
      </c>
      <c r="AL39" s="47">
        <f t="shared" si="178"/>
        <v>51230.200000000004</v>
      </c>
      <c r="AM39" s="36"/>
      <c r="AN39" s="36"/>
      <c r="AO39" s="36"/>
      <c r="AP39" s="36"/>
      <c r="AQ39" s="36"/>
      <c r="AR39" s="36">
        <f t="shared" si="85"/>
        <v>517663.30000000005</v>
      </c>
      <c r="AS39" s="36">
        <f t="shared" si="100"/>
        <v>544767.65</v>
      </c>
      <c r="AT39" s="36">
        <f t="shared" si="114"/>
        <v>573063.4</v>
      </c>
      <c r="AU39" s="36">
        <f t="shared" si="128"/>
        <v>602848.4</v>
      </c>
      <c r="AV39" s="36">
        <f t="shared" si="142"/>
        <v>634122.65</v>
      </c>
      <c r="AW39" s="36">
        <f t="shared" si="156"/>
        <v>667184</v>
      </c>
      <c r="AX39" s="36">
        <f t="shared" si="170"/>
        <v>701734.6000000001</v>
      </c>
      <c r="AY39" s="47">
        <v>0</v>
      </c>
      <c r="AZ39" s="9"/>
      <c r="BA39" s="36"/>
      <c r="BB39" s="36"/>
      <c r="BC39" s="36"/>
      <c r="BD39" s="36"/>
      <c r="BE39" s="36">
        <f t="shared" si="86"/>
        <v>172455.15000000002</v>
      </c>
      <c r="BF39" s="36">
        <f t="shared" si="101"/>
        <v>181688.5</v>
      </c>
      <c r="BG39" s="36">
        <f t="shared" si="115"/>
        <v>190921.85</v>
      </c>
      <c r="BH39" s="36">
        <f t="shared" si="129"/>
        <v>201048.75000000003</v>
      </c>
      <c r="BI39" s="36">
        <f t="shared" si="143"/>
        <v>211473.50000000003</v>
      </c>
      <c r="BJ39" s="36">
        <f t="shared" si="157"/>
        <v>222493.95</v>
      </c>
      <c r="BK39" s="36">
        <f t="shared" si="171"/>
        <v>233812.25000000003</v>
      </c>
      <c r="BL39" s="47">
        <v>0</v>
      </c>
      <c r="BM39" s="36"/>
      <c r="BN39" s="36"/>
      <c r="BO39" s="36"/>
      <c r="BP39" s="36"/>
      <c r="BQ39" s="36"/>
      <c r="BR39" s="36">
        <f t="shared" si="87"/>
        <v>68505.5</v>
      </c>
      <c r="BS39" s="36">
        <f t="shared" si="102"/>
        <v>75653.90000000001</v>
      </c>
      <c r="BT39" s="36">
        <f t="shared" si="116"/>
        <v>83100.15000000001</v>
      </c>
      <c r="BU39" s="36">
        <f t="shared" si="130"/>
        <v>91737.8</v>
      </c>
      <c r="BV39" s="36">
        <f t="shared" si="144"/>
        <v>100971.15000000001</v>
      </c>
      <c r="BW39" s="36">
        <f t="shared" si="158"/>
        <v>111395.90000000001</v>
      </c>
      <c r="BX39" s="36">
        <f t="shared" si="172"/>
        <v>122714.20000000001</v>
      </c>
      <c r="BY39" s="47">
        <v>0</v>
      </c>
      <c r="BZ39" s="36"/>
      <c r="CA39" s="36"/>
      <c r="CB39" s="36"/>
      <c r="CC39" s="36"/>
      <c r="CD39" s="36"/>
      <c r="CE39" s="36">
        <f t="shared" si="88"/>
        <v>22934.45</v>
      </c>
      <c r="CF39" s="36">
        <f t="shared" si="103"/>
        <v>25317.250000000004</v>
      </c>
      <c r="CG39" s="36">
        <f t="shared" si="117"/>
        <v>27700.050000000003</v>
      </c>
      <c r="CH39" s="36">
        <f t="shared" si="131"/>
        <v>30678.550000000003</v>
      </c>
      <c r="CI39" s="36">
        <f t="shared" si="145"/>
        <v>33657.05</v>
      </c>
      <c r="CJ39" s="36">
        <f t="shared" si="159"/>
        <v>37231.25</v>
      </c>
      <c r="CK39" s="36">
        <f t="shared" si="173"/>
        <v>40805.450000000004</v>
      </c>
      <c r="CL39" s="47">
        <v>0</v>
      </c>
      <c r="CM39" s="36"/>
      <c r="CN39" s="36"/>
      <c r="CO39" s="36"/>
      <c r="CP39" s="36"/>
      <c r="CQ39" s="36"/>
      <c r="CR39" s="36">
        <f t="shared" si="90"/>
        <v>38124.8</v>
      </c>
      <c r="CS39" s="36">
        <f t="shared" si="104"/>
        <v>40209.75</v>
      </c>
      <c r="CT39" s="36">
        <f t="shared" si="118"/>
        <v>42294.700000000004</v>
      </c>
      <c r="CU39" s="36">
        <f t="shared" si="132"/>
        <v>44379.65</v>
      </c>
      <c r="CV39" s="36">
        <f t="shared" si="146"/>
        <v>46762.450000000004</v>
      </c>
      <c r="CW39" s="36">
        <f t="shared" si="160"/>
        <v>49145.25000000001</v>
      </c>
      <c r="CX39" s="36">
        <f t="shared" si="174"/>
        <v>51825.9</v>
      </c>
      <c r="CY39" s="36">
        <v>0</v>
      </c>
      <c r="CZ39" s="36">
        <f t="shared" si="1"/>
        <v>8252827.800000002</v>
      </c>
      <c r="DA39" s="38">
        <f>CZ39*(1+$E$10)^-20</f>
        <v>3110404.001781924</v>
      </c>
      <c r="DB39" s="78"/>
      <c r="DC39" s="36"/>
      <c r="DD39" s="36"/>
      <c r="DE39" s="36"/>
      <c r="DF39" s="36"/>
      <c r="DG39" s="36"/>
      <c r="DH39" s="36">
        <f t="shared" si="76"/>
        <v>0</v>
      </c>
      <c r="DI39" s="36">
        <f t="shared" si="91"/>
        <v>0</v>
      </c>
      <c r="DJ39" s="36">
        <f t="shared" si="105"/>
        <v>0</v>
      </c>
      <c r="DK39" s="36">
        <f t="shared" si="119"/>
        <v>0</v>
      </c>
      <c r="DL39" s="36">
        <f t="shared" si="133"/>
        <v>0</v>
      </c>
      <c r="DM39" s="36">
        <f t="shared" si="147"/>
        <v>0</v>
      </c>
      <c r="DN39" s="36">
        <f t="shared" si="161"/>
        <v>0</v>
      </c>
      <c r="DO39" s="47">
        <f t="shared" si="175"/>
        <v>0</v>
      </c>
      <c r="DP39" s="36"/>
      <c r="DQ39" s="36"/>
      <c r="DR39" s="36"/>
      <c r="DS39" s="36"/>
      <c r="DT39" s="36"/>
      <c r="DU39" s="36">
        <f t="shared" si="77"/>
        <v>0</v>
      </c>
      <c r="DV39" s="36">
        <f t="shared" si="92"/>
        <v>0</v>
      </c>
      <c r="DW39" s="36">
        <f t="shared" si="106"/>
        <v>0</v>
      </c>
      <c r="DX39" s="36">
        <f t="shared" si="120"/>
        <v>0</v>
      </c>
      <c r="DY39" s="36">
        <f t="shared" si="134"/>
        <v>0</v>
      </c>
      <c r="DZ39" s="36">
        <f t="shared" si="148"/>
        <v>0</v>
      </c>
      <c r="EA39" s="36">
        <f t="shared" si="162"/>
        <v>0</v>
      </c>
      <c r="EB39" s="47">
        <f t="shared" si="176"/>
        <v>0</v>
      </c>
      <c r="EC39" s="36"/>
      <c r="ED39" s="36"/>
      <c r="EE39" s="36"/>
      <c r="EF39" s="36"/>
      <c r="EG39" s="36"/>
      <c r="EH39" s="36">
        <f t="shared" si="78"/>
        <v>0</v>
      </c>
      <c r="EI39" s="36">
        <f t="shared" si="93"/>
        <v>0</v>
      </c>
      <c r="EJ39" s="36">
        <f t="shared" si="107"/>
        <v>0</v>
      </c>
      <c r="EK39" s="36">
        <f t="shared" si="121"/>
        <v>0</v>
      </c>
      <c r="EL39" s="36">
        <f t="shared" si="135"/>
        <v>0</v>
      </c>
      <c r="EM39" s="36">
        <f t="shared" si="149"/>
        <v>0</v>
      </c>
      <c r="EN39" s="36">
        <f t="shared" si="163"/>
        <v>0</v>
      </c>
      <c r="EO39" s="47">
        <v>0</v>
      </c>
      <c r="EP39" s="9"/>
      <c r="EQ39" s="36"/>
      <c r="ER39" s="36"/>
      <c r="ES39" s="36"/>
      <c r="ET39" s="36"/>
      <c r="EU39" s="36">
        <f t="shared" si="79"/>
        <v>0</v>
      </c>
      <c r="EV39" s="36">
        <f t="shared" si="94"/>
        <v>0</v>
      </c>
      <c r="EW39" s="36">
        <f t="shared" si="108"/>
        <v>0</v>
      </c>
      <c r="EX39" s="36">
        <f t="shared" si="122"/>
        <v>0</v>
      </c>
      <c r="EY39" s="36">
        <f t="shared" si="136"/>
        <v>0</v>
      </c>
      <c r="EZ39" s="36">
        <f t="shared" si="150"/>
        <v>0</v>
      </c>
      <c r="FA39" s="36">
        <f t="shared" si="164"/>
        <v>0</v>
      </c>
      <c r="FB39" s="47">
        <v>0</v>
      </c>
      <c r="FC39" s="36"/>
      <c r="FD39" s="36"/>
      <c r="FE39" s="36"/>
      <c r="FF39" s="36"/>
      <c r="FG39" s="36"/>
      <c r="FH39" s="36">
        <f t="shared" si="80"/>
        <v>0</v>
      </c>
      <c r="FI39" s="36">
        <f t="shared" si="95"/>
        <v>0</v>
      </c>
      <c r="FJ39" s="36">
        <f t="shared" si="109"/>
        <v>0</v>
      </c>
      <c r="FK39" s="36">
        <f t="shared" si="123"/>
        <v>0</v>
      </c>
      <c r="FL39" s="36">
        <f t="shared" si="137"/>
        <v>0</v>
      </c>
      <c r="FM39" s="36">
        <f t="shared" si="151"/>
        <v>0</v>
      </c>
      <c r="FN39" s="36">
        <f t="shared" si="165"/>
        <v>0</v>
      </c>
      <c r="FO39" s="47">
        <v>0</v>
      </c>
      <c r="FP39" s="36"/>
      <c r="FQ39" s="36"/>
      <c r="FR39" s="36"/>
      <c r="FS39" s="36"/>
      <c r="FT39" s="36"/>
      <c r="FU39" s="36">
        <f t="shared" si="81"/>
        <v>0</v>
      </c>
      <c r="FV39" s="36">
        <f t="shared" si="96"/>
        <v>0</v>
      </c>
      <c r="FW39" s="36">
        <f t="shared" si="110"/>
        <v>0</v>
      </c>
      <c r="FX39" s="36">
        <f t="shared" si="124"/>
        <v>0</v>
      </c>
      <c r="FY39" s="36">
        <f t="shared" si="138"/>
        <v>0</v>
      </c>
      <c r="FZ39" s="36">
        <f t="shared" si="152"/>
        <v>0</v>
      </c>
      <c r="GA39" s="36">
        <f t="shared" si="166"/>
        <v>0</v>
      </c>
      <c r="GB39" s="47">
        <v>0</v>
      </c>
      <c r="GC39" s="36"/>
      <c r="GD39" s="36"/>
      <c r="GE39" s="36"/>
      <c r="GF39" s="36"/>
      <c r="GG39" s="36"/>
      <c r="GH39" s="36">
        <f t="shared" si="82"/>
        <v>0</v>
      </c>
      <c r="GI39" s="36">
        <f t="shared" si="97"/>
        <v>0</v>
      </c>
      <c r="GJ39" s="36">
        <f t="shared" si="111"/>
        <v>0</v>
      </c>
      <c r="GK39" s="36">
        <f t="shared" si="125"/>
        <v>0</v>
      </c>
      <c r="GL39" s="36">
        <f t="shared" si="139"/>
        <v>0</v>
      </c>
      <c r="GM39" s="36">
        <f t="shared" si="153"/>
        <v>0</v>
      </c>
      <c r="GN39" s="36">
        <f t="shared" si="167"/>
        <v>0</v>
      </c>
      <c r="GO39" s="47">
        <v>0</v>
      </c>
      <c r="GP39" s="36">
        <f>SUM(DC39:GO39)</f>
        <v>0</v>
      </c>
      <c r="GQ39" s="38">
        <f>GP39*(1+$E$11)^-20</f>
        <v>0</v>
      </c>
      <c r="GR39" s="38">
        <f t="shared" si="25"/>
        <v>8252827.800000002</v>
      </c>
      <c r="GS39" s="52">
        <f t="shared" si="9"/>
        <v>3110404.001781924</v>
      </c>
      <c r="GT39" s="36"/>
    </row>
    <row r="40" spans="1:202" ht="18">
      <c r="A40" s="9"/>
      <c r="B40" s="49">
        <v>2023</v>
      </c>
      <c r="C40" s="79" t="s">
        <v>40</v>
      </c>
      <c r="D40" s="79" t="s">
        <v>40</v>
      </c>
      <c r="E40" s="79" t="s">
        <v>40</v>
      </c>
      <c r="F40" s="79" t="s">
        <v>40</v>
      </c>
      <c r="G40" s="79" t="s">
        <v>40</v>
      </c>
      <c r="H40" s="79" t="s">
        <v>40</v>
      </c>
      <c r="I40" s="79" t="s">
        <v>40</v>
      </c>
      <c r="J40" s="79" t="s">
        <v>40</v>
      </c>
      <c r="K40" s="80" t="s">
        <v>40</v>
      </c>
      <c r="L40" s="36"/>
      <c r="M40" s="36"/>
      <c r="N40" s="36"/>
      <c r="O40" s="36"/>
      <c r="P40" s="36"/>
      <c r="Q40" s="36"/>
      <c r="R40" s="36"/>
      <c r="S40" s="36">
        <f t="shared" si="98"/>
        <v>115863.65000000001</v>
      </c>
      <c r="T40" s="36">
        <f t="shared" si="112"/>
        <v>121224.95000000001</v>
      </c>
      <c r="U40" s="36">
        <f t="shared" si="126"/>
        <v>126884.1</v>
      </c>
      <c r="V40" s="36">
        <f t="shared" si="140"/>
        <v>132543.25</v>
      </c>
      <c r="W40" s="36">
        <f t="shared" si="154"/>
        <v>138500.25</v>
      </c>
      <c r="X40" s="36">
        <f t="shared" si="168"/>
        <v>144755.1</v>
      </c>
      <c r="Y40" s="47">
        <f t="shared" si="177"/>
        <v>151605.65000000002</v>
      </c>
      <c r="Z40" s="36"/>
      <c r="AA40" s="36"/>
      <c r="AB40" s="36"/>
      <c r="AC40" s="36"/>
      <c r="AD40" s="36"/>
      <c r="AE40" s="36"/>
      <c r="AF40" s="36">
        <f t="shared" si="99"/>
        <v>42890.4</v>
      </c>
      <c r="AG40" s="36">
        <f t="shared" si="113"/>
        <v>44081.8</v>
      </c>
      <c r="AH40" s="36">
        <f t="shared" si="127"/>
        <v>45571.05</v>
      </c>
      <c r="AI40" s="36">
        <f t="shared" si="141"/>
        <v>46762.450000000004</v>
      </c>
      <c r="AJ40" s="36">
        <f t="shared" si="155"/>
        <v>48251.700000000004</v>
      </c>
      <c r="AK40" s="36">
        <f t="shared" si="169"/>
        <v>49740.950000000004</v>
      </c>
      <c r="AL40" s="47">
        <f t="shared" si="178"/>
        <v>51230.200000000004</v>
      </c>
      <c r="AM40" s="36"/>
      <c r="AN40" s="36"/>
      <c r="AO40" s="36"/>
      <c r="AP40" s="36"/>
      <c r="AQ40" s="36"/>
      <c r="AR40" s="36"/>
      <c r="AS40" s="36">
        <f t="shared" si="100"/>
        <v>544767.65</v>
      </c>
      <c r="AT40" s="36">
        <f t="shared" si="114"/>
        <v>573063.4</v>
      </c>
      <c r="AU40" s="36">
        <f t="shared" si="128"/>
        <v>602848.4</v>
      </c>
      <c r="AV40" s="36">
        <f t="shared" si="142"/>
        <v>634122.65</v>
      </c>
      <c r="AW40" s="36">
        <f t="shared" si="156"/>
        <v>667184</v>
      </c>
      <c r="AX40" s="36">
        <f t="shared" si="170"/>
        <v>701734.6000000001</v>
      </c>
      <c r="AY40" s="47">
        <v>0</v>
      </c>
      <c r="AZ40" s="9"/>
      <c r="BA40" s="36"/>
      <c r="BB40" s="36"/>
      <c r="BC40" s="36"/>
      <c r="BD40" s="36"/>
      <c r="BE40" s="36"/>
      <c r="BF40" s="36">
        <f t="shared" si="101"/>
        <v>181688.5</v>
      </c>
      <c r="BG40" s="36">
        <f t="shared" si="115"/>
        <v>190921.85</v>
      </c>
      <c r="BH40" s="36">
        <f t="shared" si="129"/>
        <v>201048.75000000003</v>
      </c>
      <c r="BI40" s="36">
        <f t="shared" si="143"/>
        <v>211473.50000000003</v>
      </c>
      <c r="BJ40" s="36">
        <f t="shared" si="157"/>
        <v>222493.95</v>
      </c>
      <c r="BK40" s="36">
        <f t="shared" si="171"/>
        <v>233812.25000000003</v>
      </c>
      <c r="BL40" s="47">
        <v>0</v>
      </c>
      <c r="BM40" s="36"/>
      <c r="BN40" s="36"/>
      <c r="BO40" s="36"/>
      <c r="BP40" s="36"/>
      <c r="BQ40" s="36"/>
      <c r="BR40" s="36"/>
      <c r="BS40" s="36">
        <f t="shared" si="102"/>
        <v>75653.90000000001</v>
      </c>
      <c r="BT40" s="36">
        <f t="shared" si="116"/>
        <v>83100.15000000001</v>
      </c>
      <c r="BU40" s="36">
        <f t="shared" si="130"/>
        <v>91737.8</v>
      </c>
      <c r="BV40" s="36">
        <f t="shared" si="144"/>
        <v>100971.15000000001</v>
      </c>
      <c r="BW40" s="36">
        <f t="shared" si="158"/>
        <v>111395.90000000001</v>
      </c>
      <c r="BX40" s="36">
        <f t="shared" si="172"/>
        <v>122714.20000000001</v>
      </c>
      <c r="BY40" s="47">
        <v>0</v>
      </c>
      <c r="BZ40" s="36"/>
      <c r="CA40" s="36"/>
      <c r="CB40" s="36"/>
      <c r="CC40" s="36"/>
      <c r="CD40" s="36"/>
      <c r="CE40" s="36"/>
      <c r="CF40" s="36">
        <f t="shared" si="103"/>
        <v>25317.250000000004</v>
      </c>
      <c r="CG40" s="36">
        <f t="shared" si="117"/>
        <v>27700.050000000003</v>
      </c>
      <c r="CH40" s="36">
        <f t="shared" si="131"/>
        <v>30678.550000000003</v>
      </c>
      <c r="CI40" s="36">
        <f t="shared" si="145"/>
        <v>33657.05</v>
      </c>
      <c r="CJ40" s="36">
        <f t="shared" si="159"/>
        <v>37231.25</v>
      </c>
      <c r="CK40" s="36">
        <f t="shared" si="173"/>
        <v>40805.450000000004</v>
      </c>
      <c r="CL40" s="47">
        <v>0</v>
      </c>
      <c r="CM40" s="36"/>
      <c r="CN40" s="36"/>
      <c r="CO40" s="36"/>
      <c r="CP40" s="36"/>
      <c r="CQ40" s="36"/>
      <c r="CR40" s="36"/>
      <c r="CS40" s="36">
        <f t="shared" si="104"/>
        <v>40209.75</v>
      </c>
      <c r="CT40" s="36">
        <f t="shared" si="118"/>
        <v>42294.700000000004</v>
      </c>
      <c r="CU40" s="36">
        <f t="shared" si="132"/>
        <v>44379.65</v>
      </c>
      <c r="CV40" s="36">
        <f t="shared" si="146"/>
        <v>46762.450000000004</v>
      </c>
      <c r="CW40" s="36">
        <f t="shared" si="160"/>
        <v>49145.25000000001</v>
      </c>
      <c r="CX40" s="36">
        <f t="shared" si="174"/>
        <v>51825.9</v>
      </c>
      <c r="CY40" s="36">
        <v>0</v>
      </c>
      <c r="CZ40" s="36">
        <f t="shared" si="1"/>
        <v>7280645.400000001</v>
      </c>
      <c r="DA40" s="38">
        <f>CZ40*(1+$E$10)^-21</f>
        <v>2613332.0759882773</v>
      </c>
      <c r="DB40" s="78"/>
      <c r="DC40" s="36"/>
      <c r="DD40" s="36"/>
      <c r="DE40" s="36"/>
      <c r="DF40" s="36"/>
      <c r="DG40" s="36"/>
      <c r="DH40" s="36"/>
      <c r="DI40" s="36">
        <f t="shared" si="91"/>
        <v>0</v>
      </c>
      <c r="DJ40" s="36">
        <f t="shared" si="105"/>
        <v>0</v>
      </c>
      <c r="DK40" s="36">
        <f t="shared" si="119"/>
        <v>0</v>
      </c>
      <c r="DL40" s="36">
        <f t="shared" si="133"/>
        <v>0</v>
      </c>
      <c r="DM40" s="36">
        <f t="shared" si="147"/>
        <v>0</v>
      </c>
      <c r="DN40" s="36">
        <f t="shared" si="161"/>
        <v>0</v>
      </c>
      <c r="DO40" s="47">
        <f t="shared" si="175"/>
        <v>0</v>
      </c>
      <c r="DP40" s="36"/>
      <c r="DQ40" s="36"/>
      <c r="DR40" s="36"/>
      <c r="DS40" s="36"/>
      <c r="DT40" s="36"/>
      <c r="DU40" s="36"/>
      <c r="DV40" s="36">
        <f t="shared" si="92"/>
        <v>0</v>
      </c>
      <c r="DW40" s="36">
        <f t="shared" si="106"/>
        <v>0</v>
      </c>
      <c r="DX40" s="36">
        <f t="shared" si="120"/>
        <v>0</v>
      </c>
      <c r="DY40" s="36">
        <f t="shared" si="134"/>
        <v>0</v>
      </c>
      <c r="DZ40" s="36">
        <f t="shared" si="148"/>
        <v>0</v>
      </c>
      <c r="EA40" s="36">
        <f t="shared" si="162"/>
        <v>0</v>
      </c>
      <c r="EB40" s="47">
        <f t="shared" si="176"/>
        <v>0</v>
      </c>
      <c r="EC40" s="36"/>
      <c r="ED40" s="36"/>
      <c r="EE40" s="36"/>
      <c r="EF40" s="36"/>
      <c r="EG40" s="36"/>
      <c r="EH40" s="36"/>
      <c r="EI40" s="36">
        <f t="shared" si="93"/>
        <v>0</v>
      </c>
      <c r="EJ40" s="36">
        <f t="shared" si="107"/>
        <v>0</v>
      </c>
      <c r="EK40" s="36">
        <f t="shared" si="121"/>
        <v>0</v>
      </c>
      <c r="EL40" s="36">
        <f t="shared" si="135"/>
        <v>0</v>
      </c>
      <c r="EM40" s="36">
        <f t="shared" si="149"/>
        <v>0</v>
      </c>
      <c r="EN40" s="36">
        <f t="shared" si="163"/>
        <v>0</v>
      </c>
      <c r="EO40" s="47">
        <v>0</v>
      </c>
      <c r="EP40" s="9"/>
      <c r="EQ40" s="36"/>
      <c r="ER40" s="36"/>
      <c r="ES40" s="36"/>
      <c r="ET40" s="36"/>
      <c r="EU40" s="36"/>
      <c r="EV40" s="36">
        <f t="shared" si="94"/>
        <v>0</v>
      </c>
      <c r="EW40" s="36">
        <f t="shared" si="108"/>
        <v>0</v>
      </c>
      <c r="EX40" s="36">
        <f t="shared" si="122"/>
        <v>0</v>
      </c>
      <c r="EY40" s="36">
        <f t="shared" si="136"/>
        <v>0</v>
      </c>
      <c r="EZ40" s="36">
        <f t="shared" si="150"/>
        <v>0</v>
      </c>
      <c r="FA40" s="36">
        <f t="shared" si="164"/>
        <v>0</v>
      </c>
      <c r="FB40" s="47">
        <v>0</v>
      </c>
      <c r="FC40" s="36"/>
      <c r="FD40" s="36"/>
      <c r="FE40" s="36"/>
      <c r="FF40" s="36"/>
      <c r="FG40" s="36"/>
      <c r="FH40" s="36"/>
      <c r="FI40" s="36">
        <f t="shared" si="95"/>
        <v>0</v>
      </c>
      <c r="FJ40" s="36">
        <f t="shared" si="109"/>
        <v>0</v>
      </c>
      <c r="FK40" s="36">
        <f t="shared" si="123"/>
        <v>0</v>
      </c>
      <c r="FL40" s="36">
        <f t="shared" si="137"/>
        <v>0</v>
      </c>
      <c r="FM40" s="36">
        <f t="shared" si="151"/>
        <v>0</v>
      </c>
      <c r="FN40" s="36">
        <f t="shared" si="165"/>
        <v>0</v>
      </c>
      <c r="FO40" s="47">
        <v>0</v>
      </c>
      <c r="FP40" s="36"/>
      <c r="FQ40" s="36"/>
      <c r="FR40" s="36"/>
      <c r="FS40" s="36"/>
      <c r="FT40" s="36"/>
      <c r="FU40" s="36"/>
      <c r="FV40" s="36">
        <f t="shared" si="96"/>
        <v>0</v>
      </c>
      <c r="FW40" s="36">
        <f t="shared" si="110"/>
        <v>0</v>
      </c>
      <c r="FX40" s="36">
        <f t="shared" si="124"/>
        <v>0</v>
      </c>
      <c r="FY40" s="36">
        <f t="shared" si="138"/>
        <v>0</v>
      </c>
      <c r="FZ40" s="36">
        <f t="shared" si="152"/>
        <v>0</v>
      </c>
      <c r="GA40" s="36">
        <f t="shared" si="166"/>
        <v>0</v>
      </c>
      <c r="GB40" s="47">
        <v>0</v>
      </c>
      <c r="GC40" s="36"/>
      <c r="GD40" s="36"/>
      <c r="GE40" s="36"/>
      <c r="GF40" s="36"/>
      <c r="GG40" s="36"/>
      <c r="GH40" s="36"/>
      <c r="GI40" s="36">
        <f t="shared" si="97"/>
        <v>0</v>
      </c>
      <c r="GJ40" s="36">
        <f t="shared" si="111"/>
        <v>0</v>
      </c>
      <c r="GK40" s="36">
        <f t="shared" si="125"/>
        <v>0</v>
      </c>
      <c r="GL40" s="36">
        <f t="shared" si="139"/>
        <v>0</v>
      </c>
      <c r="GM40" s="36">
        <f t="shared" si="153"/>
        <v>0</v>
      </c>
      <c r="GN40" s="36">
        <f t="shared" si="167"/>
        <v>0</v>
      </c>
      <c r="GO40" s="47">
        <v>0</v>
      </c>
      <c r="GP40" s="36">
        <f>SUM(DC40:GO40)</f>
        <v>0</v>
      </c>
      <c r="GQ40" s="38">
        <f>GP40*(1+$E$11)^-21</f>
        <v>0</v>
      </c>
      <c r="GR40" s="38">
        <f t="shared" si="25"/>
        <v>7280645.400000001</v>
      </c>
      <c r="GS40" s="52">
        <f t="shared" si="9"/>
        <v>2613332.0759882773</v>
      </c>
      <c r="GT40" s="36"/>
    </row>
    <row r="41" spans="1:202" ht="18">
      <c r="A41" s="9"/>
      <c r="B41" s="49">
        <v>2024</v>
      </c>
      <c r="C41" s="79" t="s">
        <v>40</v>
      </c>
      <c r="D41" s="79" t="s">
        <v>40</v>
      </c>
      <c r="E41" s="79" t="s">
        <v>40</v>
      </c>
      <c r="F41" s="79" t="s">
        <v>40</v>
      </c>
      <c r="G41" s="79" t="s">
        <v>40</v>
      </c>
      <c r="H41" s="79" t="s">
        <v>40</v>
      </c>
      <c r="I41" s="79" t="s">
        <v>40</v>
      </c>
      <c r="J41" s="79" t="s">
        <v>40</v>
      </c>
      <c r="K41" s="80" t="s">
        <v>40</v>
      </c>
      <c r="L41" s="36"/>
      <c r="M41" s="36"/>
      <c r="N41" s="36"/>
      <c r="O41" s="36"/>
      <c r="P41" s="36"/>
      <c r="Q41" s="36"/>
      <c r="R41" s="36"/>
      <c r="S41" s="36"/>
      <c r="T41" s="36">
        <f t="shared" si="112"/>
        <v>121224.95000000001</v>
      </c>
      <c r="U41" s="36">
        <f t="shared" si="126"/>
        <v>126884.1</v>
      </c>
      <c r="V41" s="36">
        <f t="shared" si="140"/>
        <v>132543.25</v>
      </c>
      <c r="W41" s="36">
        <f t="shared" si="154"/>
        <v>138500.25</v>
      </c>
      <c r="X41" s="36">
        <f t="shared" si="168"/>
        <v>144755.1</v>
      </c>
      <c r="Y41" s="47">
        <f t="shared" si="177"/>
        <v>151605.65000000002</v>
      </c>
      <c r="Z41" s="36"/>
      <c r="AA41" s="36"/>
      <c r="AB41" s="36"/>
      <c r="AC41" s="36"/>
      <c r="AD41" s="36"/>
      <c r="AE41" s="36"/>
      <c r="AF41" s="36"/>
      <c r="AG41" s="36">
        <f t="shared" si="113"/>
        <v>44081.8</v>
      </c>
      <c r="AH41" s="36">
        <f t="shared" si="127"/>
        <v>45571.05</v>
      </c>
      <c r="AI41" s="36">
        <f t="shared" si="141"/>
        <v>46762.450000000004</v>
      </c>
      <c r="AJ41" s="36">
        <f t="shared" si="155"/>
        <v>48251.700000000004</v>
      </c>
      <c r="AK41" s="36">
        <f t="shared" si="169"/>
        <v>49740.950000000004</v>
      </c>
      <c r="AL41" s="47">
        <f t="shared" si="178"/>
        <v>51230.200000000004</v>
      </c>
      <c r="AM41" s="36"/>
      <c r="AN41" s="36"/>
      <c r="AO41" s="36"/>
      <c r="AP41" s="36"/>
      <c r="AQ41" s="36"/>
      <c r="AR41" s="36"/>
      <c r="AS41" s="36"/>
      <c r="AT41" s="36">
        <f t="shared" si="114"/>
        <v>573063.4</v>
      </c>
      <c r="AU41" s="36">
        <f t="shared" si="128"/>
        <v>602848.4</v>
      </c>
      <c r="AV41" s="36">
        <f t="shared" si="142"/>
        <v>634122.65</v>
      </c>
      <c r="AW41" s="36">
        <f t="shared" si="156"/>
        <v>667184</v>
      </c>
      <c r="AX41" s="36">
        <f t="shared" si="170"/>
        <v>701734.6000000001</v>
      </c>
      <c r="AY41" s="47">
        <v>0</v>
      </c>
      <c r="AZ41" s="9"/>
      <c r="BA41" s="36"/>
      <c r="BB41" s="36"/>
      <c r="BC41" s="36"/>
      <c r="BD41" s="36"/>
      <c r="BE41" s="36"/>
      <c r="BF41" s="36"/>
      <c r="BG41" s="36">
        <f t="shared" si="115"/>
        <v>190921.85</v>
      </c>
      <c r="BH41" s="36">
        <f t="shared" si="129"/>
        <v>201048.75000000003</v>
      </c>
      <c r="BI41" s="36">
        <f t="shared" si="143"/>
        <v>211473.50000000003</v>
      </c>
      <c r="BJ41" s="36">
        <f t="shared" si="157"/>
        <v>222493.95</v>
      </c>
      <c r="BK41" s="36">
        <f t="shared" si="171"/>
        <v>233812.25000000003</v>
      </c>
      <c r="BL41" s="47">
        <v>0</v>
      </c>
      <c r="BM41" s="36"/>
      <c r="BN41" s="36"/>
      <c r="BO41" s="36"/>
      <c r="BP41" s="36"/>
      <c r="BQ41" s="36"/>
      <c r="BR41" s="36"/>
      <c r="BS41" s="36"/>
      <c r="BT41" s="36">
        <f t="shared" si="116"/>
        <v>83100.15000000001</v>
      </c>
      <c r="BU41" s="36">
        <f t="shared" si="130"/>
        <v>91737.8</v>
      </c>
      <c r="BV41" s="36">
        <f t="shared" si="144"/>
        <v>100971.15000000001</v>
      </c>
      <c r="BW41" s="36">
        <f t="shared" si="158"/>
        <v>111395.90000000001</v>
      </c>
      <c r="BX41" s="36">
        <f t="shared" si="172"/>
        <v>122714.20000000001</v>
      </c>
      <c r="BY41" s="47">
        <v>0</v>
      </c>
      <c r="BZ41" s="36"/>
      <c r="CA41" s="36"/>
      <c r="CB41" s="36"/>
      <c r="CC41" s="36"/>
      <c r="CD41" s="36"/>
      <c r="CE41" s="36"/>
      <c r="CF41" s="36"/>
      <c r="CG41" s="36">
        <f t="shared" si="117"/>
        <v>27700.050000000003</v>
      </c>
      <c r="CH41" s="36">
        <f t="shared" si="131"/>
        <v>30678.550000000003</v>
      </c>
      <c r="CI41" s="36">
        <f t="shared" si="145"/>
        <v>33657.05</v>
      </c>
      <c r="CJ41" s="36">
        <f t="shared" si="159"/>
        <v>37231.25</v>
      </c>
      <c r="CK41" s="36">
        <f t="shared" si="173"/>
        <v>40805.450000000004</v>
      </c>
      <c r="CL41" s="47">
        <v>0</v>
      </c>
      <c r="CM41" s="36"/>
      <c r="CN41" s="36"/>
      <c r="CO41" s="36"/>
      <c r="CP41" s="36"/>
      <c r="CQ41" s="36"/>
      <c r="CR41" s="36"/>
      <c r="CS41" s="36"/>
      <c r="CT41" s="36">
        <f t="shared" si="118"/>
        <v>42294.700000000004</v>
      </c>
      <c r="CU41" s="36">
        <f t="shared" si="132"/>
        <v>44379.65</v>
      </c>
      <c r="CV41" s="36">
        <f t="shared" si="146"/>
        <v>46762.450000000004</v>
      </c>
      <c r="CW41" s="36">
        <f t="shared" si="160"/>
        <v>49145.25000000001</v>
      </c>
      <c r="CX41" s="36">
        <f t="shared" si="174"/>
        <v>51825.9</v>
      </c>
      <c r="CY41" s="36">
        <v>0</v>
      </c>
      <c r="CZ41" s="36">
        <f t="shared" si="1"/>
        <v>6254254.300000002</v>
      </c>
      <c r="DA41" s="38">
        <f>CZ41*(1+$E$10)^-22</f>
        <v>2138016.0261979513</v>
      </c>
      <c r="DB41" s="78"/>
      <c r="DC41" s="36"/>
      <c r="DD41" s="36"/>
      <c r="DE41" s="36"/>
      <c r="DF41" s="36"/>
      <c r="DG41" s="36"/>
      <c r="DH41" s="36"/>
      <c r="DI41" s="36"/>
      <c r="DJ41" s="36">
        <f t="shared" si="105"/>
        <v>0</v>
      </c>
      <c r="DK41" s="36">
        <f t="shared" si="119"/>
        <v>0</v>
      </c>
      <c r="DL41" s="36">
        <f t="shared" si="133"/>
        <v>0</v>
      </c>
      <c r="DM41" s="36">
        <f t="shared" si="147"/>
        <v>0</v>
      </c>
      <c r="DN41" s="36">
        <f t="shared" si="161"/>
        <v>0</v>
      </c>
      <c r="DO41" s="47">
        <f t="shared" si="175"/>
        <v>0</v>
      </c>
      <c r="DP41" s="36"/>
      <c r="DQ41" s="36"/>
      <c r="DR41" s="36"/>
      <c r="DS41" s="36"/>
      <c r="DT41" s="36"/>
      <c r="DU41" s="36"/>
      <c r="DV41" s="36"/>
      <c r="DW41" s="36">
        <f t="shared" si="106"/>
        <v>0</v>
      </c>
      <c r="DX41" s="36">
        <f t="shared" si="120"/>
        <v>0</v>
      </c>
      <c r="DY41" s="36">
        <f t="shared" si="134"/>
        <v>0</v>
      </c>
      <c r="DZ41" s="36">
        <f t="shared" si="148"/>
        <v>0</v>
      </c>
      <c r="EA41" s="36">
        <f t="shared" si="162"/>
        <v>0</v>
      </c>
      <c r="EB41" s="47">
        <f t="shared" si="176"/>
        <v>0</v>
      </c>
      <c r="EC41" s="36"/>
      <c r="ED41" s="36"/>
      <c r="EE41" s="36"/>
      <c r="EF41" s="36"/>
      <c r="EG41" s="36"/>
      <c r="EH41" s="36"/>
      <c r="EI41" s="36"/>
      <c r="EJ41" s="36">
        <f t="shared" si="107"/>
        <v>0</v>
      </c>
      <c r="EK41" s="36">
        <f t="shared" si="121"/>
        <v>0</v>
      </c>
      <c r="EL41" s="36">
        <f t="shared" si="135"/>
        <v>0</v>
      </c>
      <c r="EM41" s="36">
        <f t="shared" si="149"/>
        <v>0</v>
      </c>
      <c r="EN41" s="36">
        <f t="shared" si="163"/>
        <v>0</v>
      </c>
      <c r="EO41" s="47">
        <v>0</v>
      </c>
      <c r="EP41" s="9"/>
      <c r="EQ41" s="36"/>
      <c r="ER41" s="36"/>
      <c r="ES41" s="36"/>
      <c r="ET41" s="36"/>
      <c r="EU41" s="36"/>
      <c r="EV41" s="36"/>
      <c r="EW41" s="36">
        <f t="shared" si="108"/>
        <v>0</v>
      </c>
      <c r="EX41" s="36">
        <f t="shared" si="122"/>
        <v>0</v>
      </c>
      <c r="EY41" s="36">
        <f t="shared" si="136"/>
        <v>0</v>
      </c>
      <c r="EZ41" s="36">
        <f t="shared" si="150"/>
        <v>0</v>
      </c>
      <c r="FA41" s="36">
        <f t="shared" si="164"/>
        <v>0</v>
      </c>
      <c r="FB41" s="47">
        <v>0</v>
      </c>
      <c r="FC41" s="36"/>
      <c r="FD41" s="36"/>
      <c r="FE41" s="36"/>
      <c r="FF41" s="36"/>
      <c r="FG41" s="36"/>
      <c r="FH41" s="36"/>
      <c r="FI41" s="36"/>
      <c r="FJ41" s="36">
        <f t="shared" si="109"/>
        <v>0</v>
      </c>
      <c r="FK41" s="36">
        <f t="shared" si="123"/>
        <v>0</v>
      </c>
      <c r="FL41" s="36">
        <f t="shared" si="137"/>
        <v>0</v>
      </c>
      <c r="FM41" s="36">
        <f t="shared" si="151"/>
        <v>0</v>
      </c>
      <c r="FN41" s="36">
        <f t="shared" si="165"/>
        <v>0</v>
      </c>
      <c r="FO41" s="47">
        <v>0</v>
      </c>
      <c r="FP41" s="36"/>
      <c r="FQ41" s="36"/>
      <c r="FR41" s="36"/>
      <c r="FS41" s="36"/>
      <c r="FT41" s="36"/>
      <c r="FU41" s="36"/>
      <c r="FV41" s="36"/>
      <c r="FW41" s="36">
        <f t="shared" si="110"/>
        <v>0</v>
      </c>
      <c r="FX41" s="36">
        <f t="shared" si="124"/>
        <v>0</v>
      </c>
      <c r="FY41" s="36">
        <f t="shared" si="138"/>
        <v>0</v>
      </c>
      <c r="FZ41" s="36">
        <f t="shared" si="152"/>
        <v>0</v>
      </c>
      <c r="GA41" s="36">
        <f t="shared" si="166"/>
        <v>0</v>
      </c>
      <c r="GB41" s="47">
        <v>0</v>
      </c>
      <c r="GC41" s="36"/>
      <c r="GD41" s="36"/>
      <c r="GE41" s="36"/>
      <c r="GF41" s="36"/>
      <c r="GG41" s="36"/>
      <c r="GH41" s="36"/>
      <c r="GI41" s="36"/>
      <c r="GJ41" s="36">
        <f t="shared" si="111"/>
        <v>0</v>
      </c>
      <c r="GK41" s="36">
        <f t="shared" si="125"/>
        <v>0</v>
      </c>
      <c r="GL41" s="36">
        <f t="shared" si="139"/>
        <v>0</v>
      </c>
      <c r="GM41" s="36">
        <f t="shared" si="153"/>
        <v>0</v>
      </c>
      <c r="GN41" s="36">
        <f t="shared" si="167"/>
        <v>0</v>
      </c>
      <c r="GO41" s="47">
        <v>0</v>
      </c>
      <c r="GP41" s="36">
        <f>SUM(DC41:GO41)</f>
        <v>0</v>
      </c>
      <c r="GQ41" s="38">
        <f>GP41*(1+$E$11)^-22</f>
        <v>0</v>
      </c>
      <c r="GR41" s="38">
        <f t="shared" si="25"/>
        <v>6254254.300000002</v>
      </c>
      <c r="GS41" s="52">
        <f t="shared" si="9"/>
        <v>2138016.0261979513</v>
      </c>
      <c r="GT41" s="36"/>
    </row>
    <row r="42" spans="1:202" ht="18">
      <c r="A42" s="9"/>
      <c r="B42" s="49">
        <v>2025</v>
      </c>
      <c r="C42" s="79" t="s">
        <v>40</v>
      </c>
      <c r="D42" s="79" t="s">
        <v>40</v>
      </c>
      <c r="E42" s="79" t="s">
        <v>40</v>
      </c>
      <c r="F42" s="79" t="s">
        <v>40</v>
      </c>
      <c r="G42" s="79" t="s">
        <v>40</v>
      </c>
      <c r="H42" s="79" t="s">
        <v>40</v>
      </c>
      <c r="I42" s="79" t="s">
        <v>40</v>
      </c>
      <c r="J42" s="79" t="s">
        <v>40</v>
      </c>
      <c r="K42" s="80" t="s">
        <v>40</v>
      </c>
      <c r="L42" s="36"/>
      <c r="M42" s="36"/>
      <c r="N42" s="36"/>
      <c r="O42" s="36"/>
      <c r="P42" s="36"/>
      <c r="Q42" s="36"/>
      <c r="R42" s="36"/>
      <c r="S42" s="36"/>
      <c r="T42" s="36"/>
      <c r="U42" s="36">
        <f t="shared" si="126"/>
        <v>126884.1</v>
      </c>
      <c r="V42" s="36">
        <f t="shared" si="140"/>
        <v>132543.25</v>
      </c>
      <c r="W42" s="36">
        <f t="shared" si="154"/>
        <v>138500.25</v>
      </c>
      <c r="X42" s="36">
        <f t="shared" si="168"/>
        <v>144755.1</v>
      </c>
      <c r="Y42" s="47">
        <f t="shared" si="177"/>
        <v>151605.65000000002</v>
      </c>
      <c r="Z42" s="36"/>
      <c r="AA42" s="36"/>
      <c r="AB42" s="36"/>
      <c r="AC42" s="36"/>
      <c r="AD42" s="36"/>
      <c r="AE42" s="36"/>
      <c r="AF42" s="36"/>
      <c r="AG42" s="36"/>
      <c r="AH42" s="36">
        <f t="shared" si="127"/>
        <v>45571.05</v>
      </c>
      <c r="AI42" s="36">
        <f t="shared" si="141"/>
        <v>46762.450000000004</v>
      </c>
      <c r="AJ42" s="36">
        <f t="shared" si="155"/>
        <v>48251.700000000004</v>
      </c>
      <c r="AK42" s="36">
        <f t="shared" si="169"/>
        <v>49740.950000000004</v>
      </c>
      <c r="AL42" s="47">
        <f t="shared" si="178"/>
        <v>51230.200000000004</v>
      </c>
      <c r="AM42" s="36"/>
      <c r="AN42" s="36"/>
      <c r="AO42" s="36"/>
      <c r="AP42" s="36"/>
      <c r="AQ42" s="36"/>
      <c r="AR42" s="36"/>
      <c r="AS42" s="36"/>
      <c r="AT42" s="36"/>
      <c r="AU42" s="36">
        <f t="shared" si="128"/>
        <v>602848.4</v>
      </c>
      <c r="AV42" s="36">
        <f t="shared" si="142"/>
        <v>634122.65</v>
      </c>
      <c r="AW42" s="36">
        <f t="shared" si="156"/>
        <v>667184</v>
      </c>
      <c r="AX42" s="36">
        <f t="shared" si="170"/>
        <v>701734.6000000001</v>
      </c>
      <c r="AY42" s="47">
        <v>0</v>
      </c>
      <c r="AZ42" s="9"/>
      <c r="BA42" s="36"/>
      <c r="BB42" s="36"/>
      <c r="BC42" s="36"/>
      <c r="BD42" s="36"/>
      <c r="BE42" s="36"/>
      <c r="BF42" s="36"/>
      <c r="BG42" s="36"/>
      <c r="BH42" s="36">
        <f t="shared" si="129"/>
        <v>201048.75000000003</v>
      </c>
      <c r="BI42" s="36">
        <f t="shared" si="143"/>
        <v>211473.50000000003</v>
      </c>
      <c r="BJ42" s="36">
        <f t="shared" si="157"/>
        <v>222493.95</v>
      </c>
      <c r="BK42" s="36">
        <f t="shared" si="171"/>
        <v>233812.25000000003</v>
      </c>
      <c r="BL42" s="47">
        <v>0</v>
      </c>
      <c r="BM42" s="36"/>
      <c r="BN42" s="36"/>
      <c r="BO42" s="36"/>
      <c r="BP42" s="36"/>
      <c r="BQ42" s="36"/>
      <c r="BR42" s="36"/>
      <c r="BS42" s="36"/>
      <c r="BT42" s="36"/>
      <c r="BU42" s="36">
        <f t="shared" si="130"/>
        <v>91737.8</v>
      </c>
      <c r="BV42" s="36">
        <f t="shared" si="144"/>
        <v>100971.15000000001</v>
      </c>
      <c r="BW42" s="36">
        <f t="shared" si="158"/>
        <v>111395.90000000001</v>
      </c>
      <c r="BX42" s="36">
        <f t="shared" si="172"/>
        <v>122714.20000000001</v>
      </c>
      <c r="BY42" s="47">
        <v>0</v>
      </c>
      <c r="BZ42" s="36"/>
      <c r="CA42" s="36"/>
      <c r="CB42" s="36"/>
      <c r="CC42" s="36"/>
      <c r="CD42" s="36"/>
      <c r="CE42" s="36"/>
      <c r="CF42" s="36"/>
      <c r="CG42" s="36"/>
      <c r="CH42" s="36">
        <f t="shared" si="131"/>
        <v>30678.550000000003</v>
      </c>
      <c r="CI42" s="36">
        <f t="shared" si="145"/>
        <v>33657.05</v>
      </c>
      <c r="CJ42" s="36">
        <f t="shared" si="159"/>
        <v>37231.25</v>
      </c>
      <c r="CK42" s="36">
        <f t="shared" si="173"/>
        <v>40805.450000000004</v>
      </c>
      <c r="CL42" s="47">
        <v>0</v>
      </c>
      <c r="CM42" s="36"/>
      <c r="CN42" s="36"/>
      <c r="CO42" s="36"/>
      <c r="CP42" s="36"/>
      <c r="CQ42" s="36"/>
      <c r="CR42" s="36"/>
      <c r="CS42" s="36"/>
      <c r="CT42" s="36"/>
      <c r="CU42" s="36">
        <f t="shared" si="132"/>
        <v>44379.65</v>
      </c>
      <c r="CV42" s="36">
        <f t="shared" si="146"/>
        <v>46762.450000000004</v>
      </c>
      <c r="CW42" s="36">
        <f t="shared" si="160"/>
        <v>49145.25000000001</v>
      </c>
      <c r="CX42" s="36">
        <f t="shared" si="174"/>
        <v>51825.9</v>
      </c>
      <c r="CY42" s="36">
        <v>0</v>
      </c>
      <c r="CZ42" s="36">
        <f t="shared" si="1"/>
        <v>5171867.400000002</v>
      </c>
      <c r="DA42" s="38">
        <f>CZ42*(1+$E$10)^-23</f>
        <v>1683811.622825812</v>
      </c>
      <c r="DB42" s="78"/>
      <c r="DC42" s="36"/>
      <c r="DD42" s="36"/>
      <c r="DE42" s="36"/>
      <c r="DF42" s="36"/>
      <c r="DG42" s="36"/>
      <c r="DH42" s="36"/>
      <c r="DI42" s="36"/>
      <c r="DJ42" s="36"/>
      <c r="DK42" s="36">
        <f t="shared" si="119"/>
        <v>0</v>
      </c>
      <c r="DL42" s="36">
        <f t="shared" si="133"/>
        <v>0</v>
      </c>
      <c r="DM42" s="36">
        <f t="shared" si="147"/>
        <v>0</v>
      </c>
      <c r="DN42" s="36">
        <f t="shared" si="161"/>
        <v>0</v>
      </c>
      <c r="DO42" s="47">
        <f t="shared" si="175"/>
        <v>0</v>
      </c>
      <c r="DP42" s="36"/>
      <c r="DQ42" s="36"/>
      <c r="DR42" s="36"/>
      <c r="DS42" s="36"/>
      <c r="DT42" s="36"/>
      <c r="DU42" s="36"/>
      <c r="DV42" s="36"/>
      <c r="DW42" s="36"/>
      <c r="DX42" s="36">
        <f t="shared" si="120"/>
        <v>0</v>
      </c>
      <c r="DY42" s="36">
        <f t="shared" si="134"/>
        <v>0</v>
      </c>
      <c r="DZ42" s="36">
        <f t="shared" si="148"/>
        <v>0</v>
      </c>
      <c r="EA42" s="36">
        <f t="shared" si="162"/>
        <v>0</v>
      </c>
      <c r="EB42" s="47">
        <f t="shared" si="176"/>
        <v>0</v>
      </c>
      <c r="EC42" s="36"/>
      <c r="ED42" s="36"/>
      <c r="EE42" s="36"/>
      <c r="EF42" s="36"/>
      <c r="EG42" s="36"/>
      <c r="EH42" s="36"/>
      <c r="EI42" s="36"/>
      <c r="EJ42" s="36"/>
      <c r="EK42" s="36">
        <f t="shared" si="121"/>
        <v>0</v>
      </c>
      <c r="EL42" s="36">
        <f t="shared" si="135"/>
        <v>0</v>
      </c>
      <c r="EM42" s="36">
        <f t="shared" si="149"/>
        <v>0</v>
      </c>
      <c r="EN42" s="36">
        <f t="shared" si="163"/>
        <v>0</v>
      </c>
      <c r="EO42" s="47">
        <v>0</v>
      </c>
      <c r="EP42" s="9"/>
      <c r="EQ42" s="36"/>
      <c r="ER42" s="36"/>
      <c r="ES42" s="36"/>
      <c r="ET42" s="36"/>
      <c r="EU42" s="36"/>
      <c r="EV42" s="36"/>
      <c r="EW42" s="36"/>
      <c r="EX42" s="36">
        <f t="shared" si="122"/>
        <v>0</v>
      </c>
      <c r="EY42" s="36">
        <f t="shared" si="136"/>
        <v>0</v>
      </c>
      <c r="EZ42" s="36">
        <f t="shared" si="150"/>
        <v>0</v>
      </c>
      <c r="FA42" s="36">
        <f t="shared" si="164"/>
        <v>0</v>
      </c>
      <c r="FB42" s="47">
        <v>0</v>
      </c>
      <c r="FC42" s="36"/>
      <c r="FD42" s="36"/>
      <c r="FE42" s="36"/>
      <c r="FF42" s="36"/>
      <c r="FG42" s="36"/>
      <c r="FH42" s="36"/>
      <c r="FI42" s="36"/>
      <c r="FJ42" s="36"/>
      <c r="FK42" s="36">
        <f t="shared" si="123"/>
        <v>0</v>
      </c>
      <c r="FL42" s="36">
        <f t="shared" si="137"/>
        <v>0</v>
      </c>
      <c r="FM42" s="36">
        <f t="shared" si="151"/>
        <v>0</v>
      </c>
      <c r="FN42" s="36">
        <f t="shared" si="165"/>
        <v>0</v>
      </c>
      <c r="FO42" s="47">
        <v>0</v>
      </c>
      <c r="FP42" s="36"/>
      <c r="FQ42" s="36"/>
      <c r="FR42" s="36"/>
      <c r="FS42" s="36"/>
      <c r="FT42" s="36"/>
      <c r="FU42" s="36"/>
      <c r="FV42" s="36"/>
      <c r="FW42" s="36"/>
      <c r="FX42" s="36">
        <f t="shared" si="124"/>
        <v>0</v>
      </c>
      <c r="FY42" s="36">
        <f t="shared" si="138"/>
        <v>0</v>
      </c>
      <c r="FZ42" s="36">
        <f t="shared" si="152"/>
        <v>0</v>
      </c>
      <c r="GA42" s="36">
        <f t="shared" si="166"/>
        <v>0</v>
      </c>
      <c r="GB42" s="47">
        <v>0</v>
      </c>
      <c r="GC42" s="36"/>
      <c r="GD42" s="36"/>
      <c r="GE42" s="36"/>
      <c r="GF42" s="36"/>
      <c r="GG42" s="36"/>
      <c r="GH42" s="36"/>
      <c r="GI42" s="36"/>
      <c r="GJ42" s="36"/>
      <c r="GK42" s="36">
        <f t="shared" si="125"/>
        <v>0</v>
      </c>
      <c r="GL42" s="36">
        <f t="shared" si="139"/>
        <v>0</v>
      </c>
      <c r="GM42" s="36">
        <f t="shared" si="153"/>
        <v>0</v>
      </c>
      <c r="GN42" s="36">
        <f t="shared" si="167"/>
        <v>0</v>
      </c>
      <c r="GO42" s="47">
        <v>0</v>
      </c>
      <c r="GP42" s="36">
        <f>SUM(DC42:GO42)</f>
        <v>0</v>
      </c>
      <c r="GQ42" s="38">
        <f>GP42*(1+$E$11)^-23</f>
        <v>0</v>
      </c>
      <c r="GR42" s="38">
        <f t="shared" si="25"/>
        <v>5171867.400000002</v>
      </c>
      <c r="GS42" s="52">
        <f t="shared" si="9"/>
        <v>1683811.622825812</v>
      </c>
      <c r="GT42" s="36"/>
    </row>
    <row r="43" spans="1:202" ht="18">
      <c r="A43" s="9"/>
      <c r="B43" s="49">
        <v>2026</v>
      </c>
      <c r="C43" s="79" t="s">
        <v>40</v>
      </c>
      <c r="D43" s="79" t="s">
        <v>40</v>
      </c>
      <c r="E43" s="79" t="s">
        <v>40</v>
      </c>
      <c r="F43" s="79" t="s">
        <v>40</v>
      </c>
      <c r="G43" s="79" t="s">
        <v>40</v>
      </c>
      <c r="H43" s="79" t="s">
        <v>40</v>
      </c>
      <c r="I43" s="79" t="s">
        <v>40</v>
      </c>
      <c r="J43" s="79" t="s">
        <v>40</v>
      </c>
      <c r="K43" s="80" t="s">
        <v>40</v>
      </c>
      <c r="L43" s="36"/>
      <c r="M43" s="36"/>
      <c r="N43" s="36"/>
      <c r="O43" s="36"/>
      <c r="P43" s="36"/>
      <c r="Q43" s="36"/>
      <c r="R43" s="36"/>
      <c r="S43" s="36"/>
      <c r="T43" s="36"/>
      <c r="U43" s="36"/>
      <c r="V43" s="36">
        <f t="shared" si="140"/>
        <v>132543.25</v>
      </c>
      <c r="W43" s="36">
        <f t="shared" si="154"/>
        <v>138500.25</v>
      </c>
      <c r="X43" s="36">
        <f t="shared" si="168"/>
        <v>144755.1</v>
      </c>
      <c r="Y43" s="47">
        <f t="shared" si="177"/>
        <v>151605.65000000002</v>
      </c>
      <c r="Z43" s="36"/>
      <c r="AA43" s="36"/>
      <c r="AB43" s="36"/>
      <c r="AC43" s="36"/>
      <c r="AD43" s="36"/>
      <c r="AE43" s="36"/>
      <c r="AF43" s="36"/>
      <c r="AG43" s="36"/>
      <c r="AH43" s="36"/>
      <c r="AI43" s="36">
        <f t="shared" si="141"/>
        <v>46762.450000000004</v>
      </c>
      <c r="AJ43" s="36">
        <f t="shared" si="155"/>
        <v>48251.700000000004</v>
      </c>
      <c r="AK43" s="36">
        <f t="shared" si="169"/>
        <v>49740.950000000004</v>
      </c>
      <c r="AL43" s="47">
        <f t="shared" si="178"/>
        <v>51230.200000000004</v>
      </c>
      <c r="AM43" s="36"/>
      <c r="AN43" s="36"/>
      <c r="AO43" s="36"/>
      <c r="AP43" s="36"/>
      <c r="AQ43" s="36"/>
      <c r="AR43" s="36"/>
      <c r="AS43" s="36"/>
      <c r="AT43" s="36"/>
      <c r="AU43" s="36"/>
      <c r="AV43" s="36">
        <f t="shared" si="142"/>
        <v>634122.65</v>
      </c>
      <c r="AW43" s="36">
        <f t="shared" si="156"/>
        <v>667184</v>
      </c>
      <c r="AX43" s="36">
        <f t="shared" si="170"/>
        <v>701734.6000000001</v>
      </c>
      <c r="AY43" s="47">
        <v>0</v>
      </c>
      <c r="AZ43" s="9"/>
      <c r="BA43" s="36"/>
      <c r="BB43" s="36"/>
      <c r="BC43" s="36"/>
      <c r="BD43" s="36"/>
      <c r="BE43" s="36"/>
      <c r="BF43" s="36"/>
      <c r="BG43" s="36"/>
      <c r="BH43" s="36"/>
      <c r="BI43" s="36">
        <f t="shared" si="143"/>
        <v>211473.50000000003</v>
      </c>
      <c r="BJ43" s="36">
        <f t="shared" si="157"/>
        <v>222493.95</v>
      </c>
      <c r="BK43" s="36">
        <f t="shared" si="171"/>
        <v>233812.25000000003</v>
      </c>
      <c r="BL43" s="47">
        <v>0</v>
      </c>
      <c r="BM43" s="36"/>
      <c r="BN43" s="36"/>
      <c r="BO43" s="36"/>
      <c r="BP43" s="36"/>
      <c r="BQ43" s="36"/>
      <c r="BR43" s="36"/>
      <c r="BS43" s="36"/>
      <c r="BT43" s="36"/>
      <c r="BU43" s="36"/>
      <c r="BV43" s="36">
        <f t="shared" si="144"/>
        <v>100971.15000000001</v>
      </c>
      <c r="BW43" s="36">
        <f t="shared" si="158"/>
        <v>111395.90000000001</v>
      </c>
      <c r="BX43" s="36">
        <f t="shared" si="172"/>
        <v>122714.20000000001</v>
      </c>
      <c r="BY43" s="47">
        <v>0</v>
      </c>
      <c r="BZ43" s="36"/>
      <c r="CA43" s="36"/>
      <c r="CB43" s="36"/>
      <c r="CC43" s="36"/>
      <c r="CD43" s="36"/>
      <c r="CE43" s="36"/>
      <c r="CF43" s="36"/>
      <c r="CG43" s="36"/>
      <c r="CH43" s="36"/>
      <c r="CI43" s="36">
        <f t="shared" si="145"/>
        <v>33657.05</v>
      </c>
      <c r="CJ43" s="36">
        <f t="shared" si="159"/>
        <v>37231.25</v>
      </c>
      <c r="CK43" s="36">
        <f t="shared" si="173"/>
        <v>40805.450000000004</v>
      </c>
      <c r="CL43" s="47">
        <v>0</v>
      </c>
      <c r="CM43" s="36"/>
      <c r="CN43" s="36"/>
      <c r="CO43" s="36"/>
      <c r="CP43" s="36"/>
      <c r="CQ43" s="36"/>
      <c r="CR43" s="36"/>
      <c r="CS43" s="36"/>
      <c r="CT43" s="36"/>
      <c r="CU43" s="36"/>
      <c r="CV43" s="36">
        <f t="shared" si="146"/>
        <v>46762.450000000004</v>
      </c>
      <c r="CW43" s="36">
        <f t="shared" si="160"/>
        <v>49145.25000000001</v>
      </c>
      <c r="CX43" s="36">
        <f t="shared" si="174"/>
        <v>51825.9</v>
      </c>
      <c r="CY43" s="36">
        <v>0</v>
      </c>
      <c r="CZ43" s="36">
        <f t="shared" si="1"/>
        <v>4028719.1</v>
      </c>
      <c r="DA43" s="38">
        <f>CZ43*(1+$E$10)^-24</f>
        <v>1249176.5124527994</v>
      </c>
      <c r="DB43" s="78"/>
      <c r="DC43" s="36"/>
      <c r="DD43" s="36"/>
      <c r="DE43" s="36"/>
      <c r="DF43" s="36"/>
      <c r="DG43" s="36"/>
      <c r="DH43" s="36"/>
      <c r="DI43" s="36"/>
      <c r="DJ43" s="36"/>
      <c r="DK43" s="36"/>
      <c r="DL43" s="36">
        <f t="shared" si="133"/>
        <v>0</v>
      </c>
      <c r="DM43" s="36">
        <f t="shared" si="147"/>
        <v>0</v>
      </c>
      <c r="DN43" s="36">
        <f t="shared" si="161"/>
        <v>0</v>
      </c>
      <c r="DO43" s="47">
        <f t="shared" si="175"/>
        <v>0</v>
      </c>
      <c r="DP43" s="36"/>
      <c r="DQ43" s="36"/>
      <c r="DR43" s="36"/>
      <c r="DS43" s="36"/>
      <c r="DT43" s="36"/>
      <c r="DU43" s="36"/>
      <c r="DV43" s="36"/>
      <c r="DW43" s="36"/>
      <c r="DX43" s="36"/>
      <c r="DY43" s="36">
        <f t="shared" si="134"/>
        <v>0</v>
      </c>
      <c r="DZ43" s="36">
        <f t="shared" si="148"/>
        <v>0</v>
      </c>
      <c r="EA43" s="36">
        <f t="shared" si="162"/>
        <v>0</v>
      </c>
      <c r="EB43" s="47">
        <f t="shared" si="176"/>
        <v>0</v>
      </c>
      <c r="EC43" s="36"/>
      <c r="ED43" s="36"/>
      <c r="EE43" s="36"/>
      <c r="EF43" s="36"/>
      <c r="EG43" s="36"/>
      <c r="EH43" s="36"/>
      <c r="EI43" s="36"/>
      <c r="EJ43" s="36"/>
      <c r="EK43" s="36"/>
      <c r="EL43" s="36">
        <f t="shared" si="135"/>
        <v>0</v>
      </c>
      <c r="EM43" s="36">
        <f t="shared" si="149"/>
        <v>0</v>
      </c>
      <c r="EN43" s="36">
        <f t="shared" si="163"/>
        <v>0</v>
      </c>
      <c r="EO43" s="47">
        <v>0</v>
      </c>
      <c r="EP43" s="9"/>
      <c r="EQ43" s="36"/>
      <c r="ER43" s="36"/>
      <c r="ES43" s="36"/>
      <c r="ET43" s="36"/>
      <c r="EU43" s="36"/>
      <c r="EV43" s="36"/>
      <c r="EW43" s="36"/>
      <c r="EX43" s="36"/>
      <c r="EY43" s="36">
        <f t="shared" si="136"/>
        <v>0</v>
      </c>
      <c r="EZ43" s="36">
        <f t="shared" si="150"/>
        <v>0</v>
      </c>
      <c r="FA43" s="36">
        <f t="shared" si="164"/>
        <v>0</v>
      </c>
      <c r="FB43" s="47">
        <v>0</v>
      </c>
      <c r="FC43" s="36"/>
      <c r="FD43" s="36"/>
      <c r="FE43" s="36"/>
      <c r="FF43" s="36"/>
      <c r="FG43" s="36"/>
      <c r="FH43" s="36"/>
      <c r="FI43" s="36"/>
      <c r="FJ43" s="36"/>
      <c r="FK43" s="36"/>
      <c r="FL43" s="36">
        <f t="shared" si="137"/>
        <v>0</v>
      </c>
      <c r="FM43" s="36">
        <f t="shared" si="151"/>
        <v>0</v>
      </c>
      <c r="FN43" s="36">
        <f t="shared" si="165"/>
        <v>0</v>
      </c>
      <c r="FO43" s="47">
        <v>0</v>
      </c>
      <c r="FP43" s="36"/>
      <c r="FQ43" s="36"/>
      <c r="FR43" s="36"/>
      <c r="FS43" s="36"/>
      <c r="FT43" s="36"/>
      <c r="FU43" s="36"/>
      <c r="FV43" s="36"/>
      <c r="FW43" s="36"/>
      <c r="FX43" s="36"/>
      <c r="FY43" s="36">
        <f t="shared" si="138"/>
        <v>0</v>
      </c>
      <c r="FZ43" s="36">
        <f t="shared" si="152"/>
        <v>0</v>
      </c>
      <c r="GA43" s="36">
        <f t="shared" si="166"/>
        <v>0</v>
      </c>
      <c r="GB43" s="47">
        <v>0</v>
      </c>
      <c r="GC43" s="36"/>
      <c r="GD43" s="36"/>
      <c r="GE43" s="36"/>
      <c r="GF43" s="36"/>
      <c r="GG43" s="36"/>
      <c r="GH43" s="36"/>
      <c r="GI43" s="36"/>
      <c r="GJ43" s="36"/>
      <c r="GK43" s="36"/>
      <c r="GL43" s="36">
        <f t="shared" si="139"/>
        <v>0</v>
      </c>
      <c r="GM43" s="36">
        <f t="shared" si="153"/>
        <v>0</v>
      </c>
      <c r="GN43" s="36">
        <f t="shared" si="167"/>
        <v>0</v>
      </c>
      <c r="GO43" s="47">
        <v>0</v>
      </c>
      <c r="GP43" s="36">
        <f>SUM(DC43:GO43)</f>
        <v>0</v>
      </c>
      <c r="GQ43" s="38">
        <f>GP43*(1+$E$11)^-24</f>
        <v>0</v>
      </c>
      <c r="GR43" s="38">
        <f t="shared" si="25"/>
        <v>4028719.1</v>
      </c>
      <c r="GS43" s="52">
        <f t="shared" si="9"/>
        <v>1249176.5124527994</v>
      </c>
      <c r="GT43" s="36"/>
    </row>
    <row r="44" spans="1:202" ht="18">
      <c r="A44" s="9"/>
      <c r="B44" s="49">
        <v>2027</v>
      </c>
      <c r="C44" s="79" t="s">
        <v>40</v>
      </c>
      <c r="D44" s="79" t="s">
        <v>40</v>
      </c>
      <c r="E44" s="79" t="s">
        <v>40</v>
      </c>
      <c r="F44" s="79" t="s">
        <v>40</v>
      </c>
      <c r="G44" s="79" t="s">
        <v>40</v>
      </c>
      <c r="H44" s="79" t="s">
        <v>40</v>
      </c>
      <c r="I44" s="79" t="s">
        <v>40</v>
      </c>
      <c r="J44" s="79" t="s">
        <v>40</v>
      </c>
      <c r="K44" s="80" t="s">
        <v>40</v>
      </c>
      <c r="L44" s="36"/>
      <c r="M44" s="36"/>
      <c r="N44" s="36"/>
      <c r="O44" s="36"/>
      <c r="P44" s="36"/>
      <c r="Q44" s="36"/>
      <c r="R44" s="36"/>
      <c r="S44" s="36"/>
      <c r="T44" s="36"/>
      <c r="U44" s="36"/>
      <c r="V44" s="36"/>
      <c r="W44" s="36">
        <f t="shared" si="154"/>
        <v>138500.25</v>
      </c>
      <c r="X44" s="36">
        <f t="shared" si="168"/>
        <v>144755.1</v>
      </c>
      <c r="Y44" s="47">
        <f t="shared" si="177"/>
        <v>151605.65000000002</v>
      </c>
      <c r="Z44" s="36"/>
      <c r="AA44" s="36"/>
      <c r="AB44" s="36"/>
      <c r="AC44" s="36"/>
      <c r="AD44" s="36"/>
      <c r="AE44" s="36"/>
      <c r="AF44" s="36"/>
      <c r="AG44" s="36"/>
      <c r="AH44" s="36"/>
      <c r="AI44" s="36"/>
      <c r="AJ44" s="36">
        <f t="shared" si="155"/>
        <v>48251.700000000004</v>
      </c>
      <c r="AK44" s="36">
        <f t="shared" si="169"/>
        <v>49740.950000000004</v>
      </c>
      <c r="AL44" s="47">
        <f t="shared" si="178"/>
        <v>51230.200000000004</v>
      </c>
      <c r="AM44" s="36"/>
      <c r="AN44" s="36"/>
      <c r="AO44" s="36"/>
      <c r="AP44" s="36"/>
      <c r="AQ44" s="36"/>
      <c r="AR44" s="36"/>
      <c r="AS44" s="36"/>
      <c r="AT44" s="36"/>
      <c r="AU44" s="36"/>
      <c r="AV44" s="36"/>
      <c r="AW44" s="36">
        <f t="shared" si="156"/>
        <v>667184</v>
      </c>
      <c r="AX44" s="36">
        <f t="shared" si="170"/>
        <v>701734.6000000001</v>
      </c>
      <c r="AY44" s="47">
        <v>0</v>
      </c>
      <c r="AZ44" s="9"/>
      <c r="BA44" s="36"/>
      <c r="BB44" s="36"/>
      <c r="BC44" s="36"/>
      <c r="BD44" s="36"/>
      <c r="BE44" s="36"/>
      <c r="BF44" s="36"/>
      <c r="BG44" s="36"/>
      <c r="BH44" s="36"/>
      <c r="BI44" s="36"/>
      <c r="BJ44" s="36">
        <f t="shared" si="157"/>
        <v>222493.95</v>
      </c>
      <c r="BK44" s="36">
        <f t="shared" si="171"/>
        <v>233812.25000000003</v>
      </c>
      <c r="BL44" s="47">
        <v>0</v>
      </c>
      <c r="BM44" s="36"/>
      <c r="BN44" s="36"/>
      <c r="BO44" s="36"/>
      <c r="BP44" s="36"/>
      <c r="BQ44" s="36"/>
      <c r="BR44" s="36"/>
      <c r="BS44" s="36"/>
      <c r="BT44" s="36"/>
      <c r="BU44" s="36"/>
      <c r="BV44" s="36"/>
      <c r="BW44" s="36">
        <f t="shared" si="158"/>
        <v>111395.90000000001</v>
      </c>
      <c r="BX44" s="36">
        <f t="shared" si="172"/>
        <v>122714.20000000001</v>
      </c>
      <c r="BY44" s="47">
        <v>0</v>
      </c>
      <c r="BZ44" s="36"/>
      <c r="CA44" s="36"/>
      <c r="CB44" s="36"/>
      <c r="CC44" s="36"/>
      <c r="CD44" s="36"/>
      <c r="CE44" s="36"/>
      <c r="CF44" s="36"/>
      <c r="CG44" s="36"/>
      <c r="CH44" s="36"/>
      <c r="CI44" s="36"/>
      <c r="CJ44" s="36">
        <f t="shared" si="159"/>
        <v>37231.25</v>
      </c>
      <c r="CK44" s="36">
        <f t="shared" si="173"/>
        <v>40805.450000000004</v>
      </c>
      <c r="CL44" s="47">
        <v>0</v>
      </c>
      <c r="CM44" s="36"/>
      <c r="CN44" s="36"/>
      <c r="CO44" s="36"/>
      <c r="CP44" s="36"/>
      <c r="CQ44" s="36"/>
      <c r="CR44" s="36"/>
      <c r="CS44" s="36"/>
      <c r="CT44" s="36"/>
      <c r="CU44" s="36"/>
      <c r="CV44" s="36"/>
      <c r="CW44" s="36">
        <f t="shared" si="160"/>
        <v>49145.25000000001</v>
      </c>
      <c r="CX44" s="36">
        <f t="shared" si="174"/>
        <v>51825.9</v>
      </c>
      <c r="CY44" s="36">
        <v>0</v>
      </c>
      <c r="CZ44" s="36">
        <f t="shared" si="1"/>
        <v>2822426.6000000006</v>
      </c>
      <c r="DA44" s="38">
        <f>CZ44*(1+$E$10)^-25</f>
        <v>833470.3978934911</v>
      </c>
      <c r="DB44" s="78"/>
      <c r="DC44" s="36"/>
      <c r="DD44" s="36"/>
      <c r="DE44" s="36"/>
      <c r="DF44" s="36"/>
      <c r="DG44" s="36"/>
      <c r="DH44" s="36"/>
      <c r="DI44" s="36"/>
      <c r="DJ44" s="36"/>
      <c r="DK44" s="36"/>
      <c r="DL44" s="36"/>
      <c r="DM44" s="36">
        <f t="shared" si="147"/>
        <v>0</v>
      </c>
      <c r="DN44" s="36">
        <f t="shared" si="161"/>
        <v>0</v>
      </c>
      <c r="DO44" s="47">
        <f t="shared" si="175"/>
        <v>0</v>
      </c>
      <c r="DP44" s="36"/>
      <c r="DQ44" s="36"/>
      <c r="DR44" s="36"/>
      <c r="DS44" s="36"/>
      <c r="DT44" s="36"/>
      <c r="DU44" s="36"/>
      <c r="DV44" s="36"/>
      <c r="DW44" s="36"/>
      <c r="DX44" s="36"/>
      <c r="DY44" s="36"/>
      <c r="DZ44" s="36">
        <f t="shared" si="148"/>
        <v>0</v>
      </c>
      <c r="EA44" s="36">
        <f t="shared" si="162"/>
        <v>0</v>
      </c>
      <c r="EB44" s="47">
        <f t="shared" si="176"/>
        <v>0</v>
      </c>
      <c r="EC44" s="36"/>
      <c r="ED44" s="36"/>
      <c r="EE44" s="36"/>
      <c r="EF44" s="36"/>
      <c r="EG44" s="36"/>
      <c r="EH44" s="36"/>
      <c r="EI44" s="36"/>
      <c r="EJ44" s="36"/>
      <c r="EK44" s="36"/>
      <c r="EL44" s="36"/>
      <c r="EM44" s="36">
        <f t="shared" si="149"/>
        <v>0</v>
      </c>
      <c r="EN44" s="36">
        <f t="shared" si="163"/>
        <v>0</v>
      </c>
      <c r="EO44" s="47">
        <v>0</v>
      </c>
      <c r="EP44" s="9"/>
      <c r="EQ44" s="36"/>
      <c r="ER44" s="36"/>
      <c r="ES44" s="36"/>
      <c r="ET44" s="36"/>
      <c r="EU44" s="36"/>
      <c r="EV44" s="36"/>
      <c r="EW44" s="36"/>
      <c r="EX44" s="36"/>
      <c r="EY44" s="36"/>
      <c r="EZ44" s="36">
        <f t="shared" si="150"/>
        <v>0</v>
      </c>
      <c r="FA44" s="36">
        <f t="shared" si="164"/>
        <v>0</v>
      </c>
      <c r="FB44" s="47">
        <v>0</v>
      </c>
      <c r="FC44" s="36"/>
      <c r="FD44" s="36"/>
      <c r="FE44" s="36"/>
      <c r="FF44" s="36"/>
      <c r="FG44" s="36"/>
      <c r="FH44" s="36"/>
      <c r="FI44" s="36"/>
      <c r="FJ44" s="36"/>
      <c r="FK44" s="36"/>
      <c r="FL44" s="36"/>
      <c r="FM44" s="36">
        <f t="shared" si="151"/>
        <v>0</v>
      </c>
      <c r="FN44" s="36">
        <f t="shared" si="165"/>
        <v>0</v>
      </c>
      <c r="FO44" s="47">
        <v>0</v>
      </c>
      <c r="FP44" s="36"/>
      <c r="FQ44" s="36"/>
      <c r="FR44" s="36"/>
      <c r="FS44" s="36"/>
      <c r="FT44" s="36"/>
      <c r="FU44" s="36"/>
      <c r="FV44" s="36"/>
      <c r="FW44" s="36"/>
      <c r="FX44" s="36"/>
      <c r="FY44" s="36"/>
      <c r="FZ44" s="36">
        <f t="shared" si="152"/>
        <v>0</v>
      </c>
      <c r="GA44" s="36">
        <f t="shared" si="166"/>
        <v>0</v>
      </c>
      <c r="GB44" s="47">
        <v>0</v>
      </c>
      <c r="GC44" s="36"/>
      <c r="GD44" s="36"/>
      <c r="GE44" s="36"/>
      <c r="GF44" s="36"/>
      <c r="GG44" s="36"/>
      <c r="GH44" s="36"/>
      <c r="GI44" s="36"/>
      <c r="GJ44" s="36"/>
      <c r="GK44" s="36"/>
      <c r="GL44" s="36"/>
      <c r="GM44" s="36">
        <f t="shared" si="153"/>
        <v>0</v>
      </c>
      <c r="GN44" s="36">
        <f t="shared" si="167"/>
        <v>0</v>
      </c>
      <c r="GO44" s="47">
        <v>0</v>
      </c>
      <c r="GP44" s="36">
        <f>SUM(DC44:GO44)</f>
        <v>0</v>
      </c>
      <c r="GQ44" s="38">
        <f>GP44*(1+$E$11)^-25</f>
        <v>0</v>
      </c>
      <c r="GR44" s="38">
        <f t="shared" si="25"/>
        <v>2822426.6000000006</v>
      </c>
      <c r="GS44" s="52">
        <f t="shared" si="9"/>
        <v>833470.3978934911</v>
      </c>
      <c r="GT44" s="36"/>
    </row>
    <row r="45" spans="1:202" ht="18">
      <c r="A45" s="9"/>
      <c r="B45" s="49">
        <v>2028</v>
      </c>
      <c r="C45" s="79" t="s">
        <v>40</v>
      </c>
      <c r="D45" s="79" t="s">
        <v>40</v>
      </c>
      <c r="E45" s="79" t="s">
        <v>40</v>
      </c>
      <c r="F45" s="79" t="s">
        <v>40</v>
      </c>
      <c r="G45" s="79" t="s">
        <v>40</v>
      </c>
      <c r="H45" s="79" t="s">
        <v>40</v>
      </c>
      <c r="I45" s="79" t="s">
        <v>40</v>
      </c>
      <c r="J45" s="79" t="s">
        <v>40</v>
      </c>
      <c r="K45" s="80" t="s">
        <v>40</v>
      </c>
      <c r="L45" s="36"/>
      <c r="M45" s="36"/>
      <c r="N45" s="36"/>
      <c r="O45" s="36"/>
      <c r="P45" s="36"/>
      <c r="Q45" s="36"/>
      <c r="R45" s="36"/>
      <c r="S45" s="36"/>
      <c r="T45" s="36"/>
      <c r="U45" s="36"/>
      <c r="V45" s="36"/>
      <c r="W45" s="36"/>
      <c r="X45" s="36">
        <f t="shared" si="168"/>
        <v>144755.1</v>
      </c>
      <c r="Y45" s="47">
        <f t="shared" si="177"/>
        <v>151605.65000000002</v>
      </c>
      <c r="Z45" s="36"/>
      <c r="AA45" s="36"/>
      <c r="AB45" s="36"/>
      <c r="AC45" s="36"/>
      <c r="AD45" s="36"/>
      <c r="AE45" s="36"/>
      <c r="AF45" s="36"/>
      <c r="AG45" s="36"/>
      <c r="AH45" s="36"/>
      <c r="AI45" s="36"/>
      <c r="AJ45" s="36"/>
      <c r="AK45" s="36">
        <f t="shared" si="169"/>
        <v>49740.950000000004</v>
      </c>
      <c r="AL45" s="47">
        <f t="shared" si="178"/>
        <v>51230.200000000004</v>
      </c>
      <c r="AM45" s="36"/>
      <c r="AN45" s="36"/>
      <c r="AO45" s="36"/>
      <c r="AP45" s="36"/>
      <c r="AQ45" s="36"/>
      <c r="AR45" s="36"/>
      <c r="AS45" s="36"/>
      <c r="AT45" s="36"/>
      <c r="AU45" s="36"/>
      <c r="AV45" s="36"/>
      <c r="AW45" s="36"/>
      <c r="AX45" s="36">
        <f t="shared" si="170"/>
        <v>701734.6000000001</v>
      </c>
      <c r="AY45" s="47">
        <v>0</v>
      </c>
      <c r="AZ45" s="9"/>
      <c r="BA45" s="36"/>
      <c r="BB45" s="36"/>
      <c r="BC45" s="36"/>
      <c r="BD45" s="36"/>
      <c r="BE45" s="36"/>
      <c r="BF45" s="36"/>
      <c r="BG45" s="36"/>
      <c r="BH45" s="36"/>
      <c r="BI45" s="36"/>
      <c r="BJ45" s="36"/>
      <c r="BK45" s="36">
        <f t="shared" si="171"/>
        <v>233812.25000000003</v>
      </c>
      <c r="BL45" s="47">
        <v>0</v>
      </c>
      <c r="BM45" s="36"/>
      <c r="BN45" s="36"/>
      <c r="BO45" s="36"/>
      <c r="BP45" s="36"/>
      <c r="BQ45" s="36"/>
      <c r="BR45" s="36"/>
      <c r="BS45" s="36"/>
      <c r="BT45" s="36"/>
      <c r="BU45" s="36"/>
      <c r="BV45" s="36"/>
      <c r="BW45" s="36"/>
      <c r="BX45" s="36">
        <f t="shared" si="172"/>
        <v>122714.20000000001</v>
      </c>
      <c r="BY45" s="47">
        <v>0</v>
      </c>
      <c r="BZ45" s="36"/>
      <c r="CA45" s="36"/>
      <c r="CB45" s="36"/>
      <c r="CC45" s="36"/>
      <c r="CD45" s="36"/>
      <c r="CE45" s="36"/>
      <c r="CF45" s="36"/>
      <c r="CG45" s="36"/>
      <c r="CH45" s="36"/>
      <c r="CI45" s="36"/>
      <c r="CJ45" s="36"/>
      <c r="CK45" s="36">
        <f t="shared" si="173"/>
        <v>40805.450000000004</v>
      </c>
      <c r="CL45" s="47">
        <v>0</v>
      </c>
      <c r="CM45" s="36"/>
      <c r="CN45" s="36"/>
      <c r="CO45" s="36"/>
      <c r="CP45" s="36"/>
      <c r="CQ45" s="36"/>
      <c r="CR45" s="36"/>
      <c r="CS45" s="36"/>
      <c r="CT45" s="36"/>
      <c r="CU45" s="36"/>
      <c r="CV45" s="36"/>
      <c r="CW45" s="36"/>
      <c r="CX45" s="36">
        <f t="shared" si="174"/>
        <v>51825.9</v>
      </c>
      <c r="CY45" s="36">
        <v>0</v>
      </c>
      <c r="CZ45" s="36">
        <f t="shared" si="1"/>
        <v>1548224.2999999998</v>
      </c>
      <c r="DA45" s="38">
        <f>CZ45*(1+$E$10)^-26</f>
        <v>435423.73999983567</v>
      </c>
      <c r="DB45" s="78"/>
      <c r="DC45" s="36"/>
      <c r="DD45" s="36"/>
      <c r="DE45" s="36"/>
      <c r="DF45" s="36"/>
      <c r="DG45" s="36"/>
      <c r="DH45" s="36"/>
      <c r="DI45" s="36"/>
      <c r="DJ45" s="36"/>
      <c r="DK45" s="36"/>
      <c r="DL45" s="36"/>
      <c r="DM45" s="36"/>
      <c r="DN45" s="36">
        <f t="shared" si="161"/>
        <v>0</v>
      </c>
      <c r="DO45" s="47">
        <f t="shared" si="175"/>
        <v>0</v>
      </c>
      <c r="DP45" s="36"/>
      <c r="DQ45" s="36"/>
      <c r="DR45" s="36"/>
      <c r="DS45" s="36"/>
      <c r="DT45" s="36"/>
      <c r="DU45" s="36"/>
      <c r="DV45" s="36"/>
      <c r="DW45" s="36"/>
      <c r="DX45" s="36"/>
      <c r="DY45" s="36"/>
      <c r="DZ45" s="36"/>
      <c r="EA45" s="36">
        <f t="shared" si="162"/>
        <v>0</v>
      </c>
      <c r="EB45" s="47">
        <f t="shared" si="176"/>
        <v>0</v>
      </c>
      <c r="EC45" s="36"/>
      <c r="ED45" s="36"/>
      <c r="EE45" s="36"/>
      <c r="EF45" s="36"/>
      <c r="EG45" s="36"/>
      <c r="EH45" s="36"/>
      <c r="EI45" s="36"/>
      <c r="EJ45" s="36"/>
      <c r="EK45" s="36"/>
      <c r="EL45" s="36"/>
      <c r="EM45" s="36"/>
      <c r="EN45" s="36">
        <f t="shared" si="163"/>
        <v>0</v>
      </c>
      <c r="EO45" s="47">
        <v>0</v>
      </c>
      <c r="EP45" s="9"/>
      <c r="EQ45" s="36"/>
      <c r="ER45" s="36"/>
      <c r="ES45" s="36"/>
      <c r="ET45" s="36"/>
      <c r="EU45" s="36"/>
      <c r="EV45" s="36"/>
      <c r="EW45" s="36"/>
      <c r="EX45" s="36"/>
      <c r="EY45" s="36"/>
      <c r="EZ45" s="36"/>
      <c r="FA45" s="36">
        <f t="shared" si="164"/>
        <v>0</v>
      </c>
      <c r="FB45" s="47">
        <v>0</v>
      </c>
      <c r="FC45" s="36"/>
      <c r="FD45" s="36"/>
      <c r="FE45" s="36"/>
      <c r="FF45" s="36"/>
      <c r="FG45" s="36"/>
      <c r="FH45" s="36"/>
      <c r="FI45" s="36"/>
      <c r="FJ45" s="36"/>
      <c r="FK45" s="36"/>
      <c r="FL45" s="36"/>
      <c r="FM45" s="36"/>
      <c r="FN45" s="36">
        <f t="shared" si="165"/>
        <v>0</v>
      </c>
      <c r="FO45" s="47">
        <v>0</v>
      </c>
      <c r="FP45" s="36"/>
      <c r="FQ45" s="36"/>
      <c r="FR45" s="36"/>
      <c r="FS45" s="36"/>
      <c r="FT45" s="36"/>
      <c r="FU45" s="36"/>
      <c r="FV45" s="36"/>
      <c r="FW45" s="36"/>
      <c r="FX45" s="36"/>
      <c r="FY45" s="36"/>
      <c r="FZ45" s="36"/>
      <c r="GA45" s="36">
        <f t="shared" si="166"/>
        <v>0</v>
      </c>
      <c r="GB45" s="47">
        <v>0</v>
      </c>
      <c r="GC45" s="36"/>
      <c r="GD45" s="36"/>
      <c r="GE45" s="36"/>
      <c r="GF45" s="36"/>
      <c r="GG45" s="36"/>
      <c r="GH45" s="36"/>
      <c r="GI45" s="36"/>
      <c r="GJ45" s="36"/>
      <c r="GK45" s="36"/>
      <c r="GL45" s="36"/>
      <c r="GM45" s="36"/>
      <c r="GN45" s="36">
        <f t="shared" si="167"/>
        <v>0</v>
      </c>
      <c r="GO45" s="47">
        <v>0</v>
      </c>
      <c r="GP45" s="36">
        <f>SUM(DC45:GO45)</f>
        <v>0</v>
      </c>
      <c r="GQ45" s="38">
        <f>GP45*(1+$E$11)^-26</f>
        <v>0</v>
      </c>
      <c r="GR45" s="38">
        <f t="shared" si="25"/>
        <v>1548224.2999999998</v>
      </c>
      <c r="GS45" s="52">
        <f t="shared" si="9"/>
        <v>435423.73999983567</v>
      </c>
      <c r="GT45" s="36"/>
    </row>
    <row r="46" spans="1:202" ht="18">
      <c r="A46" s="9"/>
      <c r="B46" s="49">
        <v>2029</v>
      </c>
      <c r="C46" s="79" t="s">
        <v>40</v>
      </c>
      <c r="D46" s="79" t="s">
        <v>40</v>
      </c>
      <c r="E46" s="79" t="s">
        <v>40</v>
      </c>
      <c r="F46" s="79" t="s">
        <v>40</v>
      </c>
      <c r="G46" s="79" t="s">
        <v>40</v>
      </c>
      <c r="H46" s="79" t="s">
        <v>40</v>
      </c>
      <c r="I46" s="79" t="s">
        <v>40</v>
      </c>
      <c r="J46" s="79" t="s">
        <v>40</v>
      </c>
      <c r="K46" s="80" t="s">
        <v>40</v>
      </c>
      <c r="L46" s="36"/>
      <c r="M46" s="36"/>
      <c r="N46" s="36"/>
      <c r="O46" s="36"/>
      <c r="P46" s="36"/>
      <c r="Q46" s="36"/>
      <c r="R46" s="36"/>
      <c r="S46" s="36"/>
      <c r="T46" s="36"/>
      <c r="U46" s="36"/>
      <c r="V46" s="36"/>
      <c r="W46" s="36"/>
      <c r="X46" s="36"/>
      <c r="Y46" s="47">
        <f t="shared" si="177"/>
        <v>151605.65000000002</v>
      </c>
      <c r="Z46" s="36"/>
      <c r="AA46" s="36"/>
      <c r="AB46" s="36"/>
      <c r="AC46" s="36"/>
      <c r="AD46" s="36"/>
      <c r="AE46" s="36"/>
      <c r="AF46" s="36"/>
      <c r="AG46" s="36"/>
      <c r="AH46" s="36"/>
      <c r="AI46" s="36"/>
      <c r="AJ46" s="36"/>
      <c r="AK46" s="36"/>
      <c r="AL46" s="47">
        <f t="shared" si="178"/>
        <v>51230.200000000004</v>
      </c>
      <c r="AM46" s="36"/>
      <c r="AN46" s="36"/>
      <c r="AO46" s="36"/>
      <c r="AP46" s="36"/>
      <c r="AQ46" s="36"/>
      <c r="AR46" s="36"/>
      <c r="AS46" s="36"/>
      <c r="AT46" s="36"/>
      <c r="AU46" s="36"/>
      <c r="AV46" s="36"/>
      <c r="AW46" s="36"/>
      <c r="AX46" s="36"/>
      <c r="AY46" s="47">
        <v>0</v>
      </c>
      <c r="AZ46" s="9"/>
      <c r="BA46" s="36"/>
      <c r="BB46" s="36"/>
      <c r="BC46" s="36"/>
      <c r="BD46" s="36"/>
      <c r="BE46" s="36"/>
      <c r="BF46" s="36"/>
      <c r="BG46" s="36"/>
      <c r="BH46" s="36"/>
      <c r="BI46" s="36"/>
      <c r="BJ46" s="36"/>
      <c r="BK46" s="36"/>
      <c r="BL46" s="47">
        <v>0</v>
      </c>
      <c r="BM46" s="36"/>
      <c r="BN46" s="36"/>
      <c r="BO46" s="36"/>
      <c r="BP46" s="36"/>
      <c r="BQ46" s="36"/>
      <c r="BR46" s="36"/>
      <c r="BS46" s="36"/>
      <c r="BT46" s="36"/>
      <c r="BU46" s="36"/>
      <c r="BV46" s="36"/>
      <c r="BW46" s="36"/>
      <c r="BX46" s="36"/>
      <c r="BY46" s="47">
        <v>0</v>
      </c>
      <c r="BZ46" s="36"/>
      <c r="CA46" s="36"/>
      <c r="CB46" s="36"/>
      <c r="CC46" s="36"/>
      <c r="CD46" s="36"/>
      <c r="CE46" s="36"/>
      <c r="CF46" s="36"/>
      <c r="CG46" s="36"/>
      <c r="CH46" s="36"/>
      <c r="CI46" s="36"/>
      <c r="CJ46" s="36"/>
      <c r="CK46" s="36"/>
      <c r="CL46" s="47">
        <v>0</v>
      </c>
      <c r="CM46" s="36"/>
      <c r="CN46" s="36"/>
      <c r="CO46" s="36"/>
      <c r="CP46" s="36"/>
      <c r="CQ46" s="36"/>
      <c r="CR46" s="36"/>
      <c r="CS46" s="36"/>
      <c r="CT46" s="36"/>
      <c r="CU46" s="36"/>
      <c r="CV46" s="36"/>
      <c r="CW46" s="36"/>
      <c r="CX46" s="36"/>
      <c r="CY46" s="36">
        <v>0</v>
      </c>
      <c r="CZ46" s="36">
        <f t="shared" si="1"/>
        <v>202835.85000000003</v>
      </c>
      <c r="DA46" s="38">
        <f>CZ46*(1+$E$10)^-27</f>
        <v>54329.24145548437</v>
      </c>
      <c r="DB46" s="78"/>
      <c r="DC46" s="36"/>
      <c r="DD46" s="36"/>
      <c r="DE46" s="36"/>
      <c r="DF46" s="36"/>
      <c r="DG46" s="36"/>
      <c r="DH46" s="36"/>
      <c r="DI46" s="36"/>
      <c r="DJ46" s="36"/>
      <c r="DK46" s="36"/>
      <c r="DL46" s="36"/>
      <c r="DM46" s="36"/>
      <c r="DN46" s="36"/>
      <c r="DO46" s="47">
        <f t="shared" si="175"/>
        <v>0</v>
      </c>
      <c r="DP46" s="36"/>
      <c r="DQ46" s="36"/>
      <c r="DR46" s="36"/>
      <c r="DS46" s="36"/>
      <c r="DT46" s="36"/>
      <c r="DU46" s="36"/>
      <c r="DV46" s="36"/>
      <c r="DW46" s="36"/>
      <c r="DX46" s="36"/>
      <c r="DY46" s="36"/>
      <c r="DZ46" s="36"/>
      <c r="EA46" s="36"/>
      <c r="EB46" s="47">
        <f t="shared" si="176"/>
        <v>0</v>
      </c>
      <c r="EC46" s="36"/>
      <c r="ED46" s="36"/>
      <c r="EE46" s="36"/>
      <c r="EF46" s="36"/>
      <c r="EG46" s="36"/>
      <c r="EH46" s="36"/>
      <c r="EI46" s="36"/>
      <c r="EJ46" s="36"/>
      <c r="EK46" s="36"/>
      <c r="EL46" s="36"/>
      <c r="EM46" s="36"/>
      <c r="EN46" s="36"/>
      <c r="EO46" s="47">
        <v>0</v>
      </c>
      <c r="EP46" s="9"/>
      <c r="EQ46" s="36"/>
      <c r="ER46" s="36"/>
      <c r="ES46" s="36"/>
      <c r="ET46" s="36"/>
      <c r="EU46" s="36"/>
      <c r="EV46" s="36"/>
      <c r="EW46" s="36"/>
      <c r="EX46" s="36"/>
      <c r="EY46" s="36"/>
      <c r="EZ46" s="36"/>
      <c r="FA46" s="36"/>
      <c r="FB46" s="47">
        <v>0</v>
      </c>
      <c r="FC46" s="36"/>
      <c r="FD46" s="36"/>
      <c r="FE46" s="36"/>
      <c r="FF46" s="36"/>
      <c r="FG46" s="36"/>
      <c r="FH46" s="36"/>
      <c r="FI46" s="36"/>
      <c r="FJ46" s="36"/>
      <c r="FK46" s="36"/>
      <c r="FL46" s="36"/>
      <c r="FM46" s="36"/>
      <c r="FN46" s="36"/>
      <c r="FO46" s="47">
        <v>0</v>
      </c>
      <c r="FP46" s="36"/>
      <c r="FQ46" s="36"/>
      <c r="FR46" s="36"/>
      <c r="FS46" s="36"/>
      <c r="FT46" s="36"/>
      <c r="FU46" s="36"/>
      <c r="FV46" s="36"/>
      <c r="FW46" s="36"/>
      <c r="FX46" s="36"/>
      <c r="FY46" s="36"/>
      <c r="FZ46" s="36"/>
      <c r="GA46" s="36"/>
      <c r="GB46" s="47">
        <v>0</v>
      </c>
      <c r="GC46" s="36"/>
      <c r="GD46" s="36"/>
      <c r="GE46" s="36"/>
      <c r="GF46" s="36"/>
      <c r="GG46" s="36"/>
      <c r="GH46" s="36"/>
      <c r="GI46" s="36"/>
      <c r="GJ46" s="36"/>
      <c r="GK46" s="36"/>
      <c r="GL46" s="36"/>
      <c r="GM46" s="36"/>
      <c r="GN46" s="36"/>
      <c r="GO46" s="47">
        <v>0</v>
      </c>
      <c r="GP46" s="36">
        <f>SUM(DC46:GO46)</f>
        <v>0</v>
      </c>
      <c r="GQ46" s="38">
        <f>GP46*(1+$E$11)^-27</f>
        <v>0</v>
      </c>
      <c r="GR46" s="38">
        <f t="shared" si="25"/>
        <v>202835.85000000003</v>
      </c>
      <c r="GS46" s="52">
        <f t="shared" si="9"/>
        <v>54329.24145548437</v>
      </c>
      <c r="GT46" s="9"/>
    </row>
    <row r="47" spans="1:202" ht="18">
      <c r="A47" s="9"/>
      <c r="B47" s="66"/>
      <c r="C47" s="79"/>
      <c r="D47" s="79"/>
      <c r="E47" s="79"/>
      <c r="F47" s="79"/>
      <c r="G47" s="79"/>
      <c r="H47" s="79"/>
      <c r="I47" s="79"/>
      <c r="J47" s="79"/>
      <c r="K47" s="83">
        <f>SUM(K25:K37)</f>
        <v>59014</v>
      </c>
      <c r="L47" s="36" t="s">
        <v>2</v>
      </c>
      <c r="M47" s="36"/>
      <c r="N47" s="36"/>
      <c r="O47" s="36"/>
      <c r="P47" s="36"/>
      <c r="Q47" s="36"/>
      <c r="R47" s="36"/>
      <c r="S47" s="36"/>
      <c r="T47" s="36"/>
      <c r="U47" s="36"/>
      <c r="V47" s="36"/>
      <c r="W47" s="36"/>
      <c r="X47" s="36"/>
      <c r="Y47" s="81"/>
      <c r="Z47" s="36"/>
      <c r="AA47" s="36"/>
      <c r="AB47" s="36"/>
      <c r="AC47" s="36"/>
      <c r="AD47" s="36"/>
      <c r="AE47" s="36"/>
      <c r="AF47" s="36"/>
      <c r="AG47" s="36"/>
      <c r="AH47" s="36"/>
      <c r="AI47" s="36"/>
      <c r="AJ47" s="36"/>
      <c r="AK47" s="36"/>
      <c r="AL47" s="81"/>
      <c r="AM47" s="36"/>
      <c r="AN47" s="36"/>
      <c r="AO47" s="36"/>
      <c r="AP47" s="36"/>
      <c r="AQ47" s="36"/>
      <c r="AR47" s="36"/>
      <c r="AS47" s="36"/>
      <c r="AT47" s="36"/>
      <c r="AU47" s="36"/>
      <c r="AV47" s="36"/>
      <c r="AW47" s="36"/>
      <c r="AX47" s="36"/>
      <c r="AY47" s="81"/>
      <c r="AZ47" s="9"/>
      <c r="BA47" s="36"/>
      <c r="BB47" s="36"/>
      <c r="BC47" s="36"/>
      <c r="BD47" s="36"/>
      <c r="BE47" s="36"/>
      <c r="BF47" s="36"/>
      <c r="BG47" s="36"/>
      <c r="BH47" s="36"/>
      <c r="BI47" s="36"/>
      <c r="BJ47" s="36"/>
      <c r="BK47" s="36"/>
      <c r="BL47" s="81"/>
      <c r="BM47" s="36"/>
      <c r="BN47" s="36"/>
      <c r="BO47" s="36"/>
      <c r="BP47" s="36"/>
      <c r="BQ47" s="36"/>
      <c r="BR47" s="36"/>
      <c r="BS47" s="36"/>
      <c r="BT47" s="36"/>
      <c r="BU47" s="36"/>
      <c r="BV47" s="36"/>
      <c r="BW47" s="36"/>
      <c r="BX47" s="36"/>
      <c r="BY47" s="81"/>
      <c r="BZ47" s="36"/>
      <c r="CA47" s="36"/>
      <c r="CB47" s="36"/>
      <c r="CC47" s="36"/>
      <c r="CD47" s="36"/>
      <c r="CE47" s="36"/>
      <c r="CF47" s="36"/>
      <c r="CG47" s="36"/>
      <c r="CH47" s="36"/>
      <c r="CI47" s="36"/>
      <c r="CJ47" s="36"/>
      <c r="CK47" s="36"/>
      <c r="CL47" s="81"/>
      <c r="CM47" s="36"/>
      <c r="CN47" s="36"/>
      <c r="CO47" s="36"/>
      <c r="CP47" s="36"/>
      <c r="CQ47" s="36"/>
      <c r="CR47" s="36"/>
      <c r="CS47" s="36"/>
      <c r="CT47" s="36"/>
      <c r="CU47" s="36"/>
      <c r="CV47" s="36"/>
      <c r="CW47" s="32" t="s">
        <v>93</v>
      </c>
      <c r="CX47" s="32"/>
      <c r="CY47" s="36"/>
      <c r="CZ47" s="36"/>
      <c r="DA47" s="61">
        <f>SUM(DA25:DA37)</f>
        <v>67340489.15080397</v>
      </c>
      <c r="DB47" s="81"/>
      <c r="DC47" s="36"/>
      <c r="DD47" s="36"/>
      <c r="DE47" s="36"/>
      <c r="DF47" s="36"/>
      <c r="DG47" s="36"/>
      <c r="DH47" s="36"/>
      <c r="DI47" s="36"/>
      <c r="DJ47" s="36"/>
      <c r="DK47" s="36"/>
      <c r="DL47" s="36"/>
      <c r="DM47" s="36"/>
      <c r="DN47" s="36"/>
      <c r="DO47" s="81"/>
      <c r="DP47" s="36"/>
      <c r="DQ47" s="36"/>
      <c r="DR47" s="36"/>
      <c r="DS47" s="36"/>
      <c r="DT47" s="36"/>
      <c r="DU47" s="36"/>
      <c r="DV47" s="36"/>
      <c r="DW47" s="36"/>
      <c r="DX47" s="36"/>
      <c r="DY47" s="36"/>
      <c r="DZ47" s="36"/>
      <c r="EA47" s="36"/>
      <c r="EB47" s="81"/>
      <c r="EC47" s="36"/>
      <c r="ED47" s="36"/>
      <c r="EE47" s="36"/>
      <c r="EF47" s="36"/>
      <c r="EG47" s="36"/>
      <c r="EH47" s="36"/>
      <c r="EI47" s="36"/>
      <c r="EJ47" s="36"/>
      <c r="EK47" s="36"/>
      <c r="EL47" s="36"/>
      <c r="EM47" s="36"/>
      <c r="EN47" s="36"/>
      <c r="EO47" s="81"/>
      <c r="EP47" s="9"/>
      <c r="EQ47" s="36"/>
      <c r="ER47" s="36"/>
      <c r="ES47" s="36"/>
      <c r="ET47" s="36"/>
      <c r="EU47" s="36"/>
      <c r="EV47" s="36"/>
      <c r="EW47" s="36"/>
      <c r="EX47" s="36"/>
      <c r="EY47" s="36"/>
      <c r="EZ47" s="36"/>
      <c r="FA47" s="36"/>
      <c r="FB47" s="81"/>
      <c r="FC47" s="36"/>
      <c r="FD47" s="36"/>
      <c r="FE47" s="36"/>
      <c r="FF47" s="36"/>
      <c r="FG47" s="36"/>
      <c r="FH47" s="36"/>
      <c r="FI47" s="36"/>
      <c r="FJ47" s="36"/>
      <c r="FK47" s="36"/>
      <c r="FL47" s="36"/>
      <c r="FM47" s="36"/>
      <c r="FN47" s="36"/>
      <c r="FO47" s="81"/>
      <c r="FP47" s="36"/>
      <c r="FQ47" s="36"/>
      <c r="FR47" s="36"/>
      <c r="FS47" s="36"/>
      <c r="FT47" s="36"/>
      <c r="FU47" s="36"/>
      <c r="FV47" s="36"/>
      <c r="FW47" s="36"/>
      <c r="FX47" s="36"/>
      <c r="FY47" s="36"/>
      <c r="FZ47" s="36"/>
      <c r="GA47" s="36"/>
      <c r="GB47" s="81"/>
      <c r="GC47" s="36"/>
      <c r="GD47" s="36"/>
      <c r="GE47" s="36"/>
      <c r="GF47" s="36"/>
      <c r="GG47" s="36"/>
      <c r="GH47" s="36"/>
      <c r="GI47" s="36"/>
      <c r="GJ47" s="36"/>
      <c r="GK47" s="36"/>
      <c r="GT47" s="9"/>
    </row>
    <row r="48" spans="1:202" ht="18">
      <c r="A48" s="9"/>
      <c r="B48" s="66"/>
      <c r="C48" s="79"/>
      <c r="D48" s="79"/>
      <c r="E48" s="79"/>
      <c r="F48" s="79"/>
      <c r="G48" s="79"/>
      <c r="H48" s="79"/>
      <c r="I48" s="79"/>
      <c r="J48" s="79"/>
      <c r="K48" s="83"/>
      <c r="L48" s="36"/>
      <c r="M48" s="36"/>
      <c r="N48" s="36"/>
      <c r="O48" s="36"/>
      <c r="P48" s="36"/>
      <c r="Q48" s="36"/>
      <c r="R48" s="36"/>
      <c r="S48" s="36"/>
      <c r="T48" s="36"/>
      <c r="U48" s="36"/>
      <c r="V48" s="36"/>
      <c r="W48" s="36"/>
      <c r="X48" s="36"/>
      <c r="Y48" s="81"/>
      <c r="Z48" s="36"/>
      <c r="AA48" s="36"/>
      <c r="AB48" s="36"/>
      <c r="AC48" s="36"/>
      <c r="AD48" s="36"/>
      <c r="AE48" s="36"/>
      <c r="AF48" s="36"/>
      <c r="AG48" s="36"/>
      <c r="AH48" s="36"/>
      <c r="AI48" s="36"/>
      <c r="AJ48" s="36"/>
      <c r="AK48" s="36"/>
      <c r="AL48" s="81"/>
      <c r="AM48" s="36"/>
      <c r="AN48" s="36"/>
      <c r="AO48" s="36"/>
      <c r="AP48" s="36"/>
      <c r="AQ48" s="36"/>
      <c r="AR48" s="36"/>
      <c r="AS48" s="36"/>
      <c r="AT48" s="36"/>
      <c r="AU48" s="36"/>
      <c r="AV48" s="36"/>
      <c r="AW48" s="36"/>
      <c r="AX48" s="36"/>
      <c r="AY48" s="81"/>
      <c r="AZ48" s="9"/>
      <c r="BA48" s="36"/>
      <c r="BB48" s="36"/>
      <c r="BC48" s="36"/>
      <c r="BD48" s="36"/>
      <c r="BE48" s="36"/>
      <c r="BF48" s="36"/>
      <c r="BG48" s="36"/>
      <c r="BH48" s="36"/>
      <c r="BI48" s="36"/>
      <c r="BJ48" s="36"/>
      <c r="BK48" s="36"/>
      <c r="BL48" s="81"/>
      <c r="BM48" s="36"/>
      <c r="BN48" s="36"/>
      <c r="BO48" s="36"/>
      <c r="BP48" s="36"/>
      <c r="BQ48" s="36"/>
      <c r="BR48" s="36"/>
      <c r="BS48" s="36"/>
      <c r="BT48" s="36"/>
      <c r="BU48" s="36"/>
      <c r="BV48" s="36"/>
      <c r="BW48" s="36"/>
      <c r="BX48" s="36"/>
      <c r="BY48" s="81"/>
      <c r="BZ48" s="36"/>
      <c r="CA48" s="36"/>
      <c r="CB48" s="36"/>
      <c r="CC48" s="36"/>
      <c r="CD48" s="36"/>
      <c r="CE48" s="36"/>
      <c r="CF48" s="36"/>
      <c r="CG48" s="36"/>
      <c r="CH48" s="36"/>
      <c r="CI48" s="36"/>
      <c r="CJ48" s="36"/>
      <c r="CK48" s="36"/>
      <c r="CL48" s="81"/>
      <c r="CM48" s="36"/>
      <c r="CN48" s="36"/>
      <c r="CO48" s="36"/>
      <c r="CP48" s="36"/>
      <c r="CQ48" s="36"/>
      <c r="CR48" s="36"/>
      <c r="CS48" s="36"/>
      <c r="CT48" s="36"/>
      <c r="CU48" s="36"/>
      <c r="CV48" s="36"/>
      <c r="CW48" s="36"/>
      <c r="CX48" s="36"/>
      <c r="CY48" s="36"/>
      <c r="CZ48" s="36"/>
      <c r="DA48" s="61"/>
      <c r="DB48" s="81"/>
      <c r="DC48" s="36"/>
      <c r="DD48" s="36"/>
      <c r="DE48" s="36"/>
      <c r="DF48" s="36"/>
      <c r="DG48" s="36"/>
      <c r="DH48" s="36"/>
      <c r="DI48" s="36"/>
      <c r="DJ48" s="36"/>
      <c r="DK48" s="36"/>
      <c r="DL48" s="36"/>
      <c r="DM48" s="36"/>
      <c r="DN48" s="36"/>
      <c r="DO48" s="81"/>
      <c r="DP48" s="36"/>
      <c r="DQ48" s="36"/>
      <c r="DR48" s="36"/>
      <c r="DS48" s="36"/>
      <c r="DT48" s="36"/>
      <c r="DU48" s="36"/>
      <c r="DV48" s="36"/>
      <c r="DW48" s="36"/>
      <c r="DX48" s="36"/>
      <c r="DY48" s="36"/>
      <c r="DZ48" s="36"/>
      <c r="EA48" s="36"/>
      <c r="EB48" s="81"/>
      <c r="EC48" s="36"/>
      <c r="ED48" s="36"/>
      <c r="EE48" s="36"/>
      <c r="EF48" s="36"/>
      <c r="EG48" s="36"/>
      <c r="EH48" s="36"/>
      <c r="EI48" s="36"/>
      <c r="EJ48" s="36"/>
      <c r="EK48" s="36"/>
      <c r="EL48" s="36"/>
      <c r="EM48" s="36"/>
      <c r="EN48" s="36"/>
      <c r="EO48" s="81"/>
      <c r="EP48" s="9"/>
      <c r="EQ48" s="36"/>
      <c r="ER48" s="36"/>
      <c r="ES48" s="36"/>
      <c r="ET48" s="36"/>
      <c r="EU48" s="36"/>
      <c r="EV48" s="36"/>
      <c r="EW48" s="36"/>
      <c r="EX48" s="36"/>
      <c r="EY48" s="36"/>
      <c r="EZ48" s="36"/>
      <c r="FA48" s="36"/>
      <c r="FB48" s="81"/>
      <c r="FC48" s="36"/>
      <c r="FD48" s="36"/>
      <c r="FE48" s="36"/>
      <c r="FF48" s="36"/>
      <c r="FG48" s="36"/>
      <c r="FH48" s="36"/>
      <c r="FI48" s="36"/>
      <c r="FJ48" s="36"/>
      <c r="FK48" s="36"/>
      <c r="FL48" s="36"/>
      <c r="FM48" s="36"/>
      <c r="FN48" s="36"/>
      <c r="FO48" s="81"/>
      <c r="FP48" s="36"/>
      <c r="FQ48" s="36"/>
      <c r="FR48" s="36"/>
      <c r="FS48" s="36"/>
      <c r="FT48" s="36"/>
      <c r="FU48" s="36"/>
      <c r="FV48" s="36"/>
      <c r="FW48" s="36"/>
      <c r="FX48" s="36"/>
      <c r="FY48" s="36"/>
      <c r="FZ48" s="36"/>
      <c r="GA48" s="36"/>
      <c r="GB48" s="81"/>
      <c r="GC48" s="36"/>
      <c r="GD48" s="36"/>
      <c r="GE48" s="36"/>
      <c r="GF48" s="36"/>
      <c r="GG48" s="36"/>
      <c r="GH48" s="36"/>
      <c r="GI48" s="36"/>
      <c r="GJ48" s="36"/>
      <c r="GK48" s="36"/>
      <c r="GL48" s="32" t="s">
        <v>90</v>
      </c>
      <c r="GO48" s="81"/>
      <c r="GP48" s="36"/>
      <c r="GQ48" s="61">
        <f>SUM(GQ25:GQ37)</f>
        <v>14397584.044620361</v>
      </c>
      <c r="GR48" s="61"/>
      <c r="GT48" s="9"/>
    </row>
    <row r="49" spans="1:203" ht="18">
      <c r="A49" s="54" t="s">
        <v>41</v>
      </c>
      <c r="B49" s="68"/>
      <c r="C49" s="9"/>
      <c r="D49" s="9"/>
      <c r="E49" s="9"/>
      <c r="F49" s="9"/>
      <c r="G49" s="9"/>
      <c r="H49" s="9"/>
      <c r="I49" s="9"/>
      <c r="J49" s="9"/>
      <c r="K49" s="9"/>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Y49" s="36"/>
      <c r="CZ49" s="36"/>
      <c r="DB49" s="9"/>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S49" s="81"/>
      <c r="GT49" s="9"/>
      <c r="GU49" s="1"/>
    </row>
    <row r="50" spans="1:203" ht="18">
      <c r="A50" s="54" t="s">
        <v>64</v>
      </c>
      <c r="B50" s="68"/>
      <c r="C50" s="9"/>
      <c r="D50" s="9"/>
      <c r="E50" s="9"/>
      <c r="F50" s="9"/>
      <c r="G50" s="9"/>
      <c r="H50" s="9"/>
      <c r="I50" s="9"/>
      <c r="J50" s="9"/>
      <c r="K50" s="9"/>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2"/>
      <c r="CY50" s="36"/>
      <c r="CZ50" s="36"/>
      <c r="DA50" s="61"/>
      <c r="DB50" s="9"/>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O50" s="61" t="s">
        <v>91</v>
      </c>
      <c r="GQ50" s="9"/>
      <c r="GR50" s="9"/>
      <c r="GS50" s="61">
        <f>SUM(GS25:GS37)</f>
        <v>81738073.19542433</v>
      </c>
      <c r="GT50" s="9"/>
      <c r="GU50" s="1"/>
    </row>
    <row r="51" spans="1:203" ht="18">
      <c r="A51" s="54" t="s">
        <v>76</v>
      </c>
      <c r="B51" s="68"/>
      <c r="C51" s="9"/>
      <c r="D51" s="9"/>
      <c r="E51" s="9"/>
      <c r="F51" s="9"/>
      <c r="G51" s="9"/>
      <c r="H51" s="9"/>
      <c r="I51" s="9"/>
      <c r="J51" s="9"/>
      <c r="K51" s="9"/>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2"/>
      <c r="CY51" s="36"/>
      <c r="CZ51" s="36"/>
      <c r="DA51" s="61"/>
      <c r="DB51" s="9"/>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2"/>
      <c r="GN51" s="9"/>
      <c r="GO51" s="32" t="s">
        <v>56</v>
      </c>
      <c r="GR51" s="61"/>
      <c r="GS51" s="63"/>
      <c r="GT51" s="9"/>
      <c r="GU51" s="1"/>
    </row>
    <row r="52" spans="1:203" ht="15.75" customHeight="1">
      <c r="A52" s="54"/>
      <c r="B52" s="68"/>
      <c r="C52" s="9"/>
      <c r="D52" s="9"/>
      <c r="E52" s="9"/>
      <c r="F52" s="9"/>
      <c r="G52" s="9"/>
      <c r="H52" s="9"/>
      <c r="I52" s="9"/>
      <c r="J52" s="9"/>
      <c r="K52" s="9"/>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2"/>
      <c r="CY52" s="36"/>
      <c r="CZ52" s="36"/>
      <c r="DA52" s="61"/>
      <c r="DB52" s="9"/>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2"/>
      <c r="GN52" s="9"/>
      <c r="GO52" s="36"/>
      <c r="GP52" s="36"/>
      <c r="GQ52" s="61"/>
      <c r="GR52" s="61"/>
      <c r="GS52" s="63"/>
      <c r="GT52" s="9"/>
      <c r="GU52" s="1"/>
    </row>
    <row r="53" spans="1:202" ht="15.75">
      <c r="A53" s="9"/>
      <c r="B53" s="68"/>
      <c r="C53" s="9"/>
      <c r="D53" s="9"/>
      <c r="E53" s="9"/>
      <c r="F53" s="9"/>
      <c r="G53" s="9"/>
      <c r="H53" s="9"/>
      <c r="I53" s="9"/>
      <c r="J53" s="9"/>
      <c r="K53" s="9"/>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2"/>
      <c r="GQ53" s="36"/>
      <c r="GR53" s="36"/>
      <c r="GS53" s="9"/>
      <c r="GT53" s="9"/>
    </row>
    <row r="54" spans="1:202" ht="20.25" customHeight="1">
      <c r="A54" s="94" t="s">
        <v>54</v>
      </c>
      <c r="B54" s="68"/>
      <c r="C54" s="9"/>
      <c r="D54" s="9"/>
      <c r="E54" s="9"/>
      <c r="F54" s="9"/>
      <c r="G54" s="9"/>
      <c r="H54" s="9"/>
      <c r="I54" s="9"/>
      <c r="J54" s="9"/>
      <c r="K54" s="9"/>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row>
    <row r="55" spans="1:202" ht="15.75" customHeight="1">
      <c r="A55" s="64"/>
      <c r="B55" s="68"/>
      <c r="C55" s="9"/>
      <c r="D55" s="9"/>
      <c r="E55" s="9"/>
      <c r="F55" s="9"/>
      <c r="G55" s="9"/>
      <c r="H55" s="9"/>
      <c r="I55" s="9"/>
      <c r="J55" s="9"/>
      <c r="K55" s="9"/>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row>
    <row r="56" spans="1:202" ht="15.75" customHeight="1">
      <c r="A56" s="16" t="s">
        <v>60</v>
      </c>
      <c r="B56" s="15"/>
      <c r="C56" s="16"/>
      <c r="D56" s="16"/>
      <c r="J56" s="9"/>
      <c r="K56" s="9"/>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row>
    <row r="57" spans="6:202" ht="15.75" customHeight="1">
      <c r="F57" s="15" t="s">
        <v>61</v>
      </c>
      <c r="H57" s="15" t="s">
        <v>70</v>
      </c>
      <c r="I57" s="9"/>
      <c r="J57" s="16" t="s">
        <v>71</v>
      </c>
      <c r="K57" s="16"/>
      <c r="L57" s="16"/>
      <c r="M57" s="15" t="s">
        <v>52</v>
      </c>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row>
    <row r="58" spans="1:202" ht="15">
      <c r="A58" s="9" t="s">
        <v>100</v>
      </c>
      <c r="F58" s="87">
        <v>2050</v>
      </c>
      <c r="H58" s="89">
        <v>291</v>
      </c>
      <c r="I58" s="9"/>
      <c r="J58" s="9"/>
      <c r="K58" s="90">
        <v>97</v>
      </c>
      <c r="L58" s="9"/>
      <c r="M58" s="9" t="s">
        <v>99</v>
      </c>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36"/>
    </row>
    <row r="59" spans="1:202" ht="15">
      <c r="A59" s="9" t="s">
        <v>98</v>
      </c>
      <c r="B59" s="69"/>
      <c r="C59" s="70"/>
      <c r="F59" s="87">
        <v>2300</v>
      </c>
      <c r="H59" s="89">
        <v>0</v>
      </c>
      <c r="I59" s="9"/>
      <c r="J59" s="9"/>
      <c r="K59" s="90">
        <v>0</v>
      </c>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36"/>
    </row>
    <row r="60" spans="1:202" ht="15">
      <c r="A60" s="9"/>
      <c r="B60" s="69"/>
      <c r="C60" s="70"/>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36"/>
    </row>
    <row r="61" spans="1:202" ht="20.25">
      <c r="A61" s="9"/>
      <c r="B61" s="68"/>
      <c r="C61" s="9"/>
      <c r="D61" s="8" t="s">
        <v>42</v>
      </c>
      <c r="E61" s="39"/>
      <c r="F61" s="9"/>
      <c r="G61" s="39"/>
      <c r="H61" s="9"/>
      <c r="I61" s="9"/>
      <c r="J61" s="63"/>
      <c r="K61" s="63"/>
      <c r="L61" s="63"/>
      <c r="M61" s="8" t="s">
        <v>43</v>
      </c>
      <c r="N61" s="9"/>
      <c r="O61" s="9"/>
      <c r="P61" s="9"/>
      <c r="Q61" s="9"/>
      <c r="R61" s="9"/>
      <c r="S61" s="9"/>
      <c r="T61" s="9"/>
      <c r="U61" s="9"/>
      <c r="V61" s="9"/>
      <c r="W61" s="9"/>
      <c r="X61" s="9"/>
      <c r="Y61" s="9"/>
      <c r="Z61" s="9"/>
      <c r="AA61" s="8" t="s">
        <v>44</v>
      </c>
      <c r="AB61" s="9"/>
      <c r="AC61" s="9"/>
      <c r="AD61" s="9"/>
      <c r="AE61" s="9"/>
      <c r="AF61" s="9"/>
      <c r="AG61" s="9"/>
      <c r="AH61" s="9"/>
      <c r="AI61" s="9"/>
      <c r="AJ61" s="9"/>
      <c r="AK61" s="9"/>
      <c r="AL61" s="9"/>
      <c r="AM61" s="9"/>
      <c r="AN61" s="8" t="s">
        <v>45</v>
      </c>
      <c r="AO61" s="9"/>
      <c r="AP61" s="9"/>
      <c r="AQ61" s="9"/>
      <c r="AR61" s="9"/>
      <c r="AS61" s="9"/>
      <c r="AT61" s="9"/>
      <c r="AU61" s="9"/>
      <c r="AV61" s="9"/>
      <c r="AW61" s="9"/>
      <c r="AX61" s="9"/>
      <c r="AY61" s="9"/>
      <c r="AZ61" s="9"/>
      <c r="BA61" s="8" t="s">
        <v>45</v>
      </c>
      <c r="BB61" s="9"/>
      <c r="BC61" s="9"/>
      <c r="BD61" s="9"/>
      <c r="BE61" s="9"/>
      <c r="BF61" s="9"/>
      <c r="BG61" s="9"/>
      <c r="BH61" s="9"/>
      <c r="BI61" s="9"/>
      <c r="BJ61" s="9"/>
      <c r="BK61" s="9"/>
      <c r="BL61" s="9"/>
      <c r="BM61" s="9"/>
      <c r="BN61" s="8" t="s">
        <v>44</v>
      </c>
      <c r="BO61" s="9"/>
      <c r="BP61" s="9"/>
      <c r="BQ61" s="9"/>
      <c r="BR61" s="9"/>
      <c r="BS61" s="9"/>
      <c r="BT61" s="9"/>
      <c r="BU61" s="9"/>
      <c r="BV61" s="9"/>
      <c r="BW61" s="9"/>
      <c r="BX61" s="9"/>
      <c r="BY61" s="9"/>
      <c r="BZ61" s="9"/>
      <c r="CA61" s="8" t="s">
        <v>44</v>
      </c>
      <c r="CB61" s="9"/>
      <c r="CC61" s="9"/>
      <c r="CD61" s="9"/>
      <c r="CE61" s="9"/>
      <c r="CF61" s="9"/>
      <c r="CG61" s="9"/>
      <c r="CH61" s="9"/>
      <c r="CI61" s="9"/>
      <c r="CJ61" s="9"/>
      <c r="CK61" s="9"/>
      <c r="CL61" s="9"/>
      <c r="CM61" s="9"/>
      <c r="CN61" s="8" t="s">
        <v>44</v>
      </c>
      <c r="CO61" s="9"/>
      <c r="CP61" s="9"/>
      <c r="CQ61" s="9"/>
      <c r="CR61" s="9"/>
      <c r="CS61" s="9"/>
      <c r="CT61" s="9"/>
      <c r="CU61" s="9"/>
      <c r="CV61" s="9"/>
      <c r="CW61" s="9"/>
      <c r="CX61" s="9"/>
      <c r="CY61" s="9"/>
      <c r="CZ61" s="8" t="s">
        <v>44</v>
      </c>
      <c r="DA61" s="9"/>
      <c r="DB61" s="9"/>
      <c r="DC61" s="8" t="s">
        <v>46</v>
      </c>
      <c r="DD61" s="8"/>
      <c r="DE61" s="9"/>
      <c r="DF61" s="9"/>
      <c r="DG61" s="9"/>
      <c r="DH61" s="9"/>
      <c r="DI61" s="9"/>
      <c r="DJ61" s="9"/>
      <c r="DK61" s="9"/>
      <c r="DL61" s="9"/>
      <c r="DM61" s="9"/>
      <c r="DN61" s="9"/>
      <c r="DO61" s="9"/>
      <c r="DP61" s="9"/>
      <c r="DQ61" s="8" t="s">
        <v>48</v>
      </c>
      <c r="DR61" s="9"/>
      <c r="DS61" s="9"/>
      <c r="DT61" s="9"/>
      <c r="DU61" s="9"/>
      <c r="DV61" s="9"/>
      <c r="DW61" s="9"/>
      <c r="DX61" s="9"/>
      <c r="DY61" s="9"/>
      <c r="DZ61" s="9"/>
      <c r="EA61" s="9"/>
      <c r="EB61" s="9"/>
      <c r="EC61" s="9"/>
      <c r="ED61" s="8" t="s">
        <v>47</v>
      </c>
      <c r="EE61" s="9"/>
      <c r="EF61" s="9"/>
      <c r="EG61" s="9"/>
      <c r="EH61" s="9"/>
      <c r="EI61" s="9"/>
      <c r="EJ61" s="9"/>
      <c r="EK61" s="9"/>
      <c r="EL61" s="9"/>
      <c r="EM61" s="9"/>
      <c r="EN61" s="9"/>
      <c r="EO61" s="9"/>
      <c r="EP61" s="9"/>
      <c r="EQ61" s="8" t="s">
        <v>47</v>
      </c>
      <c r="ER61" s="9"/>
      <c r="ES61" s="9"/>
      <c r="ET61" s="9"/>
      <c r="EU61" s="9"/>
      <c r="EV61" s="9"/>
      <c r="EW61" s="9"/>
      <c r="EX61" s="9"/>
      <c r="EY61" s="9"/>
      <c r="EZ61" s="9"/>
      <c r="FA61" s="9"/>
      <c r="FB61" s="9"/>
      <c r="FC61" s="9"/>
      <c r="FD61" s="8" t="s">
        <v>48</v>
      </c>
      <c r="FE61" s="9"/>
      <c r="FF61" s="9"/>
      <c r="FG61" s="9"/>
      <c r="FH61" s="9"/>
      <c r="FI61" s="9"/>
      <c r="FJ61" s="9"/>
      <c r="FK61" s="9"/>
      <c r="FL61" s="9"/>
      <c r="FM61" s="9"/>
      <c r="FN61" s="9"/>
      <c r="FO61" s="9"/>
      <c r="FP61" s="9"/>
      <c r="FQ61" s="8" t="s">
        <v>48</v>
      </c>
      <c r="FR61" s="9"/>
      <c r="FS61" s="9"/>
      <c r="FT61" s="9"/>
      <c r="FU61" s="9"/>
      <c r="FV61" s="9"/>
      <c r="FW61" s="9"/>
      <c r="FX61" s="9"/>
      <c r="FY61" s="9"/>
      <c r="FZ61" s="9"/>
      <c r="GA61" s="9"/>
      <c r="GB61" s="9"/>
      <c r="GC61" s="9"/>
      <c r="GD61" s="8" t="s">
        <v>48</v>
      </c>
      <c r="GE61" s="9"/>
      <c r="GF61" s="9"/>
      <c r="GG61" s="9"/>
      <c r="GH61" s="9"/>
      <c r="GI61" s="9"/>
      <c r="GJ61" s="9"/>
      <c r="GK61" s="9"/>
      <c r="GL61" s="9"/>
      <c r="GM61" s="9"/>
      <c r="GN61" s="9"/>
      <c r="GO61" s="9"/>
      <c r="GP61" s="8" t="s">
        <v>47</v>
      </c>
      <c r="GQ61" s="63"/>
      <c r="GR61" s="63"/>
      <c r="GS61" s="9"/>
      <c r="GT61" s="36"/>
    </row>
    <row r="62" spans="1:202" ht="121.5" customHeight="1" thickBot="1">
      <c r="A62" s="42" t="s">
        <v>18</v>
      </c>
      <c r="B62" s="55" t="s">
        <v>19</v>
      </c>
      <c r="C62" s="42" t="s">
        <v>20</v>
      </c>
      <c r="D62" s="42" t="s">
        <v>0</v>
      </c>
      <c r="E62" s="42" t="s">
        <v>1</v>
      </c>
      <c r="F62" s="42" t="s">
        <v>29</v>
      </c>
      <c r="G62" s="42" t="s">
        <v>28</v>
      </c>
      <c r="H62" s="42" t="s">
        <v>30</v>
      </c>
      <c r="I62" s="42" t="s">
        <v>27</v>
      </c>
      <c r="J62" s="42" t="s">
        <v>26</v>
      </c>
      <c r="K62" s="56" t="s">
        <v>53</v>
      </c>
      <c r="L62" s="40" t="s">
        <v>22</v>
      </c>
      <c r="M62" s="50" t="s">
        <v>20</v>
      </c>
      <c r="N62" s="71"/>
      <c r="O62" s="71"/>
      <c r="P62" s="71"/>
      <c r="Q62" s="71"/>
      <c r="R62" s="71"/>
      <c r="S62" s="71"/>
      <c r="T62" s="71"/>
      <c r="U62" s="71"/>
      <c r="V62" s="71"/>
      <c r="W62" s="71"/>
      <c r="X62" s="71"/>
      <c r="Y62" s="72"/>
      <c r="Z62" s="48" t="s">
        <v>0</v>
      </c>
      <c r="AA62" s="73"/>
      <c r="AB62" s="73"/>
      <c r="AC62" s="73"/>
      <c r="AD62" s="73"/>
      <c r="AE62" s="73"/>
      <c r="AF62" s="73"/>
      <c r="AG62" s="73"/>
      <c r="AH62" s="73"/>
      <c r="AI62" s="73"/>
      <c r="AJ62" s="73"/>
      <c r="AK62" s="73"/>
      <c r="AL62" s="73"/>
      <c r="AM62" s="45" t="s">
        <v>31</v>
      </c>
      <c r="AN62" s="73"/>
      <c r="AO62" s="73"/>
      <c r="AP62" s="73"/>
      <c r="AQ62" s="73"/>
      <c r="AR62" s="73"/>
      <c r="AS62" s="73"/>
      <c r="AT62" s="73"/>
      <c r="AU62" s="73"/>
      <c r="AV62" s="73"/>
      <c r="AW62" s="73"/>
      <c r="AX62" s="73"/>
      <c r="AY62" s="73"/>
      <c r="AZ62" s="45" t="s">
        <v>32</v>
      </c>
      <c r="BA62" s="73"/>
      <c r="BB62" s="73"/>
      <c r="BC62" s="73"/>
      <c r="BD62" s="73"/>
      <c r="BE62" s="73"/>
      <c r="BF62" s="73"/>
      <c r="BG62" s="73"/>
      <c r="BH62" s="73"/>
      <c r="BI62" s="73"/>
      <c r="BJ62" s="73"/>
      <c r="BK62" s="73"/>
      <c r="BL62" s="74"/>
      <c r="BM62" s="48" t="s">
        <v>34</v>
      </c>
      <c r="BN62" s="73"/>
      <c r="BO62" s="73"/>
      <c r="BP62" s="73"/>
      <c r="BQ62" s="73"/>
      <c r="BR62" s="73"/>
      <c r="BS62" s="73"/>
      <c r="BT62" s="73"/>
      <c r="BU62" s="73"/>
      <c r="BV62" s="73"/>
      <c r="BW62" s="73"/>
      <c r="BX62" s="73"/>
      <c r="BY62" s="74"/>
      <c r="BZ62" s="45" t="s">
        <v>33</v>
      </c>
      <c r="CA62" s="73"/>
      <c r="CB62" s="73"/>
      <c r="CC62" s="73"/>
      <c r="CD62" s="73"/>
      <c r="CE62" s="73"/>
      <c r="CF62" s="73"/>
      <c r="CG62" s="73"/>
      <c r="CH62" s="73"/>
      <c r="CI62" s="73"/>
      <c r="CJ62" s="73"/>
      <c r="CK62" s="73"/>
      <c r="CL62" s="74"/>
      <c r="CM62" s="48" t="s">
        <v>35</v>
      </c>
      <c r="CN62" s="73"/>
      <c r="CO62" s="73"/>
      <c r="CP62" s="73"/>
      <c r="CQ62" s="73"/>
      <c r="CR62" s="73"/>
      <c r="CS62" s="73"/>
      <c r="CT62" s="73"/>
      <c r="CU62" s="73"/>
      <c r="CV62" s="73"/>
      <c r="CW62" s="73"/>
      <c r="CX62" s="73"/>
      <c r="CY62" s="74"/>
      <c r="CZ62" s="42" t="s">
        <v>23</v>
      </c>
      <c r="DA62" s="41" t="s">
        <v>49</v>
      </c>
      <c r="DB62" s="40" t="s">
        <v>25</v>
      </c>
      <c r="DC62" s="45" t="s">
        <v>20</v>
      </c>
      <c r="DD62" s="73"/>
      <c r="DE62" s="73"/>
      <c r="DF62" s="73"/>
      <c r="DG62" s="73"/>
      <c r="DH62" s="73"/>
      <c r="DI62" s="73"/>
      <c r="DJ62" s="73"/>
      <c r="DK62" s="73"/>
      <c r="DL62" s="73"/>
      <c r="DM62" s="73"/>
      <c r="DN62" s="73"/>
      <c r="DO62" s="74"/>
      <c r="DP62" s="45" t="s">
        <v>0</v>
      </c>
      <c r="DQ62" s="73"/>
      <c r="DR62" s="73"/>
      <c r="DS62" s="73"/>
      <c r="DT62" s="73"/>
      <c r="DU62" s="73"/>
      <c r="DV62" s="73"/>
      <c r="DW62" s="73"/>
      <c r="DX62" s="73"/>
      <c r="DY62" s="73"/>
      <c r="DZ62" s="73"/>
      <c r="EA62" s="73"/>
      <c r="EB62" s="74"/>
      <c r="EC62" s="45" t="s">
        <v>36</v>
      </c>
      <c r="ED62" s="73"/>
      <c r="EE62" s="73"/>
      <c r="EF62" s="73"/>
      <c r="EG62" s="73"/>
      <c r="EH62" s="73"/>
      <c r="EI62" s="73"/>
      <c r="EJ62" s="73"/>
      <c r="EK62" s="73"/>
      <c r="EL62" s="73"/>
      <c r="EM62" s="73"/>
      <c r="EN62" s="73"/>
      <c r="EO62" s="74"/>
      <c r="EP62" s="45" t="s">
        <v>24</v>
      </c>
      <c r="EQ62" s="43"/>
      <c r="ER62" s="43"/>
      <c r="ES62" s="43"/>
      <c r="ET62" s="43"/>
      <c r="EU62" s="43"/>
      <c r="EV62" s="43"/>
      <c r="EW62" s="43"/>
      <c r="EX62" s="43"/>
      <c r="EY62" s="43"/>
      <c r="EZ62" s="43"/>
      <c r="FA62" s="43"/>
      <c r="FB62" s="44"/>
      <c r="FC62" s="45" t="s">
        <v>37</v>
      </c>
      <c r="FD62" s="43"/>
      <c r="FE62" s="43"/>
      <c r="FF62" s="43"/>
      <c r="FG62" s="43"/>
      <c r="FH62" s="43"/>
      <c r="FI62" s="43"/>
      <c r="FJ62" s="43"/>
      <c r="FK62" s="43"/>
      <c r="FL62" s="43"/>
      <c r="FM62" s="43"/>
      <c r="FN62" s="43"/>
      <c r="FO62" s="74"/>
      <c r="FP62" s="45" t="s">
        <v>38</v>
      </c>
      <c r="FQ62" s="43"/>
      <c r="FR62" s="43"/>
      <c r="FS62" s="43"/>
      <c r="FT62" s="43"/>
      <c r="FU62" s="43"/>
      <c r="FV62" s="43"/>
      <c r="FW62" s="43"/>
      <c r="FX62" s="43"/>
      <c r="FY62" s="43"/>
      <c r="FZ62" s="43"/>
      <c r="GA62" s="73"/>
      <c r="GB62" s="74"/>
      <c r="GC62" s="48" t="s">
        <v>39</v>
      </c>
      <c r="GD62" s="43"/>
      <c r="GE62" s="43"/>
      <c r="GF62" s="43"/>
      <c r="GG62" s="43"/>
      <c r="GH62" s="43"/>
      <c r="GI62" s="43"/>
      <c r="GJ62" s="43"/>
      <c r="GK62" s="43"/>
      <c r="GL62" s="43"/>
      <c r="GM62" s="43"/>
      <c r="GN62" s="73"/>
      <c r="GO62" s="74"/>
      <c r="GP62" s="43" t="s">
        <v>77</v>
      </c>
      <c r="GQ62" s="41" t="s">
        <v>50</v>
      </c>
      <c r="GR62" s="41" t="s">
        <v>89</v>
      </c>
      <c r="GS62" s="92" t="s">
        <v>51</v>
      </c>
      <c r="GT62" s="36"/>
    </row>
    <row r="63" spans="1:202" ht="16.5" thickTop="1">
      <c r="A63" s="9">
        <v>-2001</v>
      </c>
      <c r="B63" s="49">
        <v>2008</v>
      </c>
      <c r="C63" s="31">
        <f aca="true" t="shared" si="179" ref="C63:I74">C25</f>
        <v>2125</v>
      </c>
      <c r="D63" s="31">
        <f t="shared" si="179"/>
        <v>880</v>
      </c>
      <c r="E63" s="31">
        <f t="shared" si="179"/>
        <v>11162</v>
      </c>
      <c r="F63" s="31">
        <f t="shared" si="179"/>
        <v>3721</v>
      </c>
      <c r="G63" s="31">
        <f t="shared" si="179"/>
        <v>856</v>
      </c>
      <c r="H63" s="31">
        <f t="shared" si="179"/>
        <v>285</v>
      </c>
      <c r="I63" s="31">
        <f t="shared" si="179"/>
        <v>822</v>
      </c>
      <c r="J63" s="63">
        <f>SUM(E63:I63)</f>
        <v>16846</v>
      </c>
      <c r="K63" s="76">
        <f>SUM(C63:I63)</f>
        <v>19851</v>
      </c>
      <c r="L63" s="36">
        <f>$F$58*0.1295</f>
        <v>265.475</v>
      </c>
      <c r="M63" s="36">
        <f>$C$63*$L$63</f>
        <v>564134.375</v>
      </c>
      <c r="N63" s="36"/>
      <c r="O63" s="36"/>
      <c r="P63" s="36"/>
      <c r="Q63" s="36"/>
      <c r="R63" s="36"/>
      <c r="S63" s="36"/>
      <c r="T63" s="36"/>
      <c r="U63" s="36"/>
      <c r="V63" s="36"/>
      <c r="W63" s="36"/>
      <c r="X63" s="36"/>
      <c r="Y63" s="77"/>
      <c r="Z63" s="36">
        <f>$D$63*$L$63</f>
        <v>233618.00000000003</v>
      </c>
      <c r="AA63" s="36"/>
      <c r="AB63" s="36"/>
      <c r="AC63" s="36"/>
      <c r="AD63" s="36"/>
      <c r="AE63" s="36"/>
      <c r="AF63" s="36"/>
      <c r="AG63" s="36"/>
      <c r="AH63" s="36"/>
      <c r="AI63" s="36"/>
      <c r="AJ63" s="36"/>
      <c r="AK63" s="36"/>
      <c r="AL63" s="77"/>
      <c r="AM63" s="36">
        <f>$E$63*$L$63</f>
        <v>2963231.95</v>
      </c>
      <c r="AN63" s="36"/>
      <c r="AO63" s="36"/>
      <c r="AP63" s="36"/>
      <c r="AQ63" s="36"/>
      <c r="AR63" s="36"/>
      <c r="AS63" s="36"/>
      <c r="AT63" s="36"/>
      <c r="AU63" s="36"/>
      <c r="AV63" s="36"/>
      <c r="AW63" s="36"/>
      <c r="AX63" s="36"/>
      <c r="AY63" s="77"/>
      <c r="AZ63" s="36">
        <f>$F$63*$L$63</f>
        <v>987832.4750000001</v>
      </c>
      <c r="BA63" s="36"/>
      <c r="BB63" s="36"/>
      <c r="BC63" s="36"/>
      <c r="BD63" s="36"/>
      <c r="BE63" s="36"/>
      <c r="BF63" s="36"/>
      <c r="BG63" s="36"/>
      <c r="BH63" s="36"/>
      <c r="BI63" s="36"/>
      <c r="BJ63" s="36"/>
      <c r="BK63" s="36"/>
      <c r="BL63" s="77"/>
      <c r="BM63" s="36">
        <f>$G$63*$L$63</f>
        <v>227246.6</v>
      </c>
      <c r="BN63" s="36"/>
      <c r="BO63" s="36"/>
      <c r="BP63" s="36"/>
      <c r="BQ63" s="36"/>
      <c r="BR63" s="36"/>
      <c r="BS63" s="36"/>
      <c r="BT63" s="36"/>
      <c r="BU63" s="36"/>
      <c r="BV63" s="36"/>
      <c r="BW63" s="36"/>
      <c r="BX63" s="36"/>
      <c r="BY63" s="77"/>
      <c r="BZ63" s="36">
        <f>$H$63*$L$63</f>
        <v>75660.375</v>
      </c>
      <c r="CA63" s="36"/>
      <c r="CB63" s="36"/>
      <c r="CC63" s="36"/>
      <c r="CD63" s="36"/>
      <c r="CE63" s="36"/>
      <c r="CF63" s="36"/>
      <c r="CG63" s="36"/>
      <c r="CH63" s="36"/>
      <c r="CI63" s="36"/>
      <c r="CJ63" s="36"/>
      <c r="CK63" s="36"/>
      <c r="CL63" s="77"/>
      <c r="CM63" s="36">
        <f>$I$63*$L$63</f>
        <v>218220.45</v>
      </c>
      <c r="CN63" s="36"/>
      <c r="CO63" s="36"/>
      <c r="CP63" s="36"/>
      <c r="CQ63" s="36"/>
      <c r="CR63" s="36"/>
      <c r="CS63" s="36"/>
      <c r="CT63" s="36"/>
      <c r="CU63" s="36"/>
      <c r="CV63" s="36"/>
      <c r="CW63" s="36"/>
      <c r="CX63" s="36"/>
      <c r="CY63" s="36"/>
      <c r="CZ63" s="36">
        <f aca="true" t="shared" si="180" ref="CZ63:CZ84">SUM(M63:CY63)</f>
        <v>5269944.225000001</v>
      </c>
      <c r="DA63" s="62">
        <f>CZ63*(1+$E$10)^-6</f>
        <v>3932513.5201112805</v>
      </c>
      <c r="DB63" s="77">
        <f>$H$58</f>
        <v>291</v>
      </c>
      <c r="DC63" s="36">
        <f>$C$63*$DB$63</f>
        <v>618375</v>
      </c>
      <c r="DD63" s="36"/>
      <c r="DE63" s="36"/>
      <c r="DF63" s="36"/>
      <c r="DG63" s="36"/>
      <c r="DH63" s="36"/>
      <c r="DI63" s="36"/>
      <c r="DJ63" s="36"/>
      <c r="DK63" s="36"/>
      <c r="DL63" s="36"/>
      <c r="DM63" s="36"/>
      <c r="DN63" s="36"/>
      <c r="DO63" s="77"/>
      <c r="DP63" s="36">
        <f aca="true" t="shared" si="181" ref="DP63:DP72">$D$25*$DB$25</f>
        <v>94160</v>
      </c>
      <c r="DQ63" s="36"/>
      <c r="DR63" s="36"/>
      <c r="DS63" s="36"/>
      <c r="DT63" s="36"/>
      <c r="DU63" s="36"/>
      <c r="DV63" s="36"/>
      <c r="DW63" s="36"/>
      <c r="DX63" s="36"/>
      <c r="DY63" s="36"/>
      <c r="DZ63" s="36"/>
      <c r="EA63" s="36"/>
      <c r="EB63" s="77"/>
      <c r="EC63" s="36">
        <f aca="true" t="shared" si="182" ref="EC63:EC72">$E$25*$DB$25</f>
        <v>1194334</v>
      </c>
      <c r="ED63" s="36"/>
      <c r="EE63" s="36"/>
      <c r="EF63" s="36"/>
      <c r="EG63" s="36"/>
      <c r="EH63" s="36"/>
      <c r="EI63" s="36"/>
      <c r="EJ63" s="36"/>
      <c r="EK63" s="36"/>
      <c r="EL63" s="36"/>
      <c r="EM63" s="36"/>
      <c r="EN63" s="36"/>
      <c r="EO63" s="77"/>
      <c r="EP63" s="36">
        <f aca="true" t="shared" si="183" ref="EP63:EP72">$F$25*$DB$25</f>
        <v>398147</v>
      </c>
      <c r="EQ63" s="36"/>
      <c r="ER63" s="36"/>
      <c r="ES63" s="36"/>
      <c r="ET63" s="36"/>
      <c r="EU63" s="36"/>
      <c r="EV63" s="36"/>
      <c r="EW63" s="36"/>
      <c r="EX63" s="36"/>
      <c r="EY63" s="36"/>
      <c r="EZ63" s="36"/>
      <c r="FA63" s="36"/>
      <c r="FB63" s="77"/>
      <c r="FC63" s="36">
        <f aca="true" t="shared" si="184" ref="FC63:FC72">$G$25*$K$58</f>
        <v>83032</v>
      </c>
      <c r="FD63" s="36"/>
      <c r="FE63" s="36"/>
      <c r="FF63" s="36"/>
      <c r="FG63" s="36"/>
      <c r="FH63" s="36"/>
      <c r="FI63" s="36"/>
      <c r="FJ63" s="36"/>
      <c r="FK63" s="36"/>
      <c r="FL63" s="36"/>
      <c r="FM63" s="36"/>
      <c r="FN63" s="36"/>
      <c r="FO63" s="77"/>
      <c r="FP63" s="36">
        <f aca="true" t="shared" si="185" ref="FP63:FP72">$H$25*$K$58</f>
        <v>27645</v>
      </c>
      <c r="FQ63" s="36"/>
      <c r="FR63" s="36"/>
      <c r="FS63" s="36"/>
      <c r="FT63" s="36"/>
      <c r="FU63" s="36"/>
      <c r="FV63" s="36"/>
      <c r="FW63" s="36"/>
      <c r="FX63" s="36"/>
      <c r="FY63" s="36"/>
      <c r="FZ63" s="36"/>
      <c r="GA63" s="36"/>
      <c r="GB63" s="77"/>
      <c r="GC63" s="36">
        <f aca="true" t="shared" si="186" ref="GC63:GC72">$I$25*$DB$25</f>
        <v>87954</v>
      </c>
      <c r="GD63" s="36"/>
      <c r="GE63" s="36"/>
      <c r="GF63" s="36"/>
      <c r="GG63" s="36"/>
      <c r="GH63" s="36"/>
      <c r="GI63" s="36"/>
      <c r="GJ63" s="36"/>
      <c r="GK63" s="36"/>
      <c r="GL63" s="36"/>
      <c r="GM63" s="36"/>
      <c r="GN63" s="36"/>
      <c r="GO63" s="77"/>
      <c r="GP63" s="36">
        <f>SUM(DC63:GO63)</f>
        <v>2503647</v>
      </c>
      <c r="GQ63" s="38">
        <f>GP63*(1+$E$11)^-6</f>
        <v>1868259.9391431028</v>
      </c>
      <c r="GR63" s="38">
        <f>CZ63+GP63</f>
        <v>7773591.225000001</v>
      </c>
      <c r="GS63" s="51">
        <f aca="true" t="shared" si="187" ref="GS63:GS84">DA63+GQ63</f>
        <v>5800773.459254383</v>
      </c>
      <c r="GT63" s="36"/>
    </row>
    <row r="64" spans="1:202" ht="15.75">
      <c r="A64" s="9">
        <v>2002</v>
      </c>
      <c r="B64" s="49">
        <v>2009</v>
      </c>
      <c r="C64" s="31">
        <f t="shared" si="179"/>
        <v>311</v>
      </c>
      <c r="D64" s="31">
        <f t="shared" si="179"/>
        <v>124</v>
      </c>
      <c r="E64" s="31">
        <f t="shared" si="179"/>
        <v>1419</v>
      </c>
      <c r="F64" s="31">
        <f t="shared" si="179"/>
        <v>473</v>
      </c>
      <c r="G64" s="31">
        <f t="shared" si="179"/>
        <v>156</v>
      </c>
      <c r="H64" s="31">
        <f t="shared" si="179"/>
        <v>52</v>
      </c>
      <c r="I64" s="31">
        <f t="shared" si="179"/>
        <v>105</v>
      </c>
      <c r="J64" s="63">
        <f aca="true" t="shared" si="188" ref="J64:J74">SUM(E64:I64)</f>
        <v>2205</v>
      </c>
      <c r="K64" s="53">
        <f aca="true" t="shared" si="189" ref="K64:K75">SUM(C64:I64)</f>
        <v>2640</v>
      </c>
      <c r="L64" s="36">
        <f>$F$58*0.1295</f>
        <v>265.475</v>
      </c>
      <c r="M64" s="36">
        <f aca="true" t="shared" si="190" ref="M64:M72">$C$63*$L$63</f>
        <v>564134.375</v>
      </c>
      <c r="N64" s="36">
        <f>$C$64*$L$64</f>
        <v>82562.725</v>
      </c>
      <c r="O64" s="36"/>
      <c r="P64" s="36"/>
      <c r="Q64" s="36"/>
      <c r="R64" s="36"/>
      <c r="S64" s="36"/>
      <c r="T64" s="36"/>
      <c r="U64" s="36"/>
      <c r="V64" s="36"/>
      <c r="W64" s="36"/>
      <c r="X64" s="36"/>
      <c r="Y64" s="47"/>
      <c r="Z64" s="36">
        <f aca="true" t="shared" si="191" ref="Z64:Z72">$D$63*$L$63</f>
        <v>233618.00000000003</v>
      </c>
      <c r="AA64" s="36">
        <f>$D$64*$L$64</f>
        <v>32918.9</v>
      </c>
      <c r="AB64" s="36"/>
      <c r="AC64" s="36"/>
      <c r="AD64" s="36"/>
      <c r="AE64" s="36"/>
      <c r="AF64" s="36"/>
      <c r="AG64" s="36"/>
      <c r="AH64" s="36"/>
      <c r="AI64" s="36"/>
      <c r="AJ64" s="36"/>
      <c r="AK64" s="36"/>
      <c r="AL64" s="47"/>
      <c r="AM64" s="36">
        <f aca="true" t="shared" si="192" ref="AM64:AM72">$E$63*$L$63</f>
        <v>2963231.95</v>
      </c>
      <c r="AN64" s="36">
        <f>$E$64*$L$64</f>
        <v>376709.025</v>
      </c>
      <c r="AO64" s="36"/>
      <c r="AP64" s="36"/>
      <c r="AQ64" s="36"/>
      <c r="AR64" s="36"/>
      <c r="AS64" s="36"/>
      <c r="AT64" s="36"/>
      <c r="AU64" s="36"/>
      <c r="AV64" s="36"/>
      <c r="AW64" s="36"/>
      <c r="AX64" s="36"/>
      <c r="AY64" s="47"/>
      <c r="AZ64" s="36">
        <f aca="true" t="shared" si="193" ref="AZ64:AZ72">$F$63*$L$63</f>
        <v>987832.4750000001</v>
      </c>
      <c r="BA64" s="36">
        <f>$F$64*$L$64</f>
        <v>125569.67500000002</v>
      </c>
      <c r="BB64" s="36"/>
      <c r="BC64" s="36"/>
      <c r="BD64" s="36"/>
      <c r="BE64" s="36"/>
      <c r="BF64" s="36"/>
      <c r="BG64" s="36"/>
      <c r="BH64" s="36"/>
      <c r="BI64" s="36"/>
      <c r="BJ64" s="36"/>
      <c r="BK64" s="36"/>
      <c r="BL64" s="47"/>
      <c r="BM64" s="36">
        <f aca="true" t="shared" si="194" ref="BM64:BM72">$G$63*$L$63</f>
        <v>227246.6</v>
      </c>
      <c r="BN64" s="36">
        <f>$G$64*$L$64</f>
        <v>41414.100000000006</v>
      </c>
      <c r="BO64" s="36"/>
      <c r="BP64" s="36"/>
      <c r="BQ64" s="36"/>
      <c r="BR64" s="36"/>
      <c r="BS64" s="36"/>
      <c r="BT64" s="36"/>
      <c r="BU64" s="36"/>
      <c r="BV64" s="36"/>
      <c r="BW64" s="36"/>
      <c r="BX64" s="36"/>
      <c r="BY64" s="47"/>
      <c r="BZ64" s="36">
        <f aca="true" t="shared" si="195" ref="BZ64:BZ72">$H$63*$L$63</f>
        <v>75660.375</v>
      </c>
      <c r="CA64" s="36">
        <f>$H$64*$L$64</f>
        <v>13804.7</v>
      </c>
      <c r="CB64" s="36"/>
      <c r="CC64" s="36"/>
      <c r="CD64" s="36"/>
      <c r="CE64" s="36"/>
      <c r="CF64" s="36"/>
      <c r="CG64" s="36"/>
      <c r="CH64" s="36"/>
      <c r="CI64" s="36"/>
      <c r="CJ64" s="36"/>
      <c r="CK64" s="36"/>
      <c r="CL64" s="47"/>
      <c r="CM64" s="36">
        <f aca="true" t="shared" si="196" ref="CM64:CM72">$I$63*$L$63</f>
        <v>218220.45</v>
      </c>
      <c r="CN64" s="36">
        <f>$I$64*$L$64</f>
        <v>27874.875000000004</v>
      </c>
      <c r="CO64" s="36"/>
      <c r="CP64" s="36"/>
      <c r="CQ64" s="36"/>
      <c r="CR64" s="36"/>
      <c r="CS64" s="36"/>
      <c r="CT64" s="36"/>
      <c r="CU64" s="36"/>
      <c r="CV64" s="36"/>
      <c r="CW64" s="36"/>
      <c r="CX64" s="36"/>
      <c r="CY64" s="36"/>
      <c r="CZ64" s="36">
        <f t="shared" si="180"/>
        <v>5970798.225000001</v>
      </c>
      <c r="DA64" s="38">
        <f>CZ64*(1+$E$10)^-7</f>
        <v>4243334.824481568</v>
      </c>
      <c r="DB64" s="78">
        <f>$H$58</f>
        <v>291</v>
      </c>
      <c r="DC64" s="36">
        <f aca="true" t="shared" si="197" ref="DC64:DC72">$C$63*$DB$63</f>
        <v>618375</v>
      </c>
      <c r="DD64" s="36">
        <f>$C$64*$DB$64</f>
        <v>90501</v>
      </c>
      <c r="DE64" s="36"/>
      <c r="DF64" s="36"/>
      <c r="DG64" s="36"/>
      <c r="DH64" s="36"/>
      <c r="DI64" s="36"/>
      <c r="DJ64" s="36"/>
      <c r="DK64" s="36"/>
      <c r="DL64" s="36"/>
      <c r="DM64" s="36"/>
      <c r="DN64" s="36"/>
      <c r="DO64" s="47"/>
      <c r="DP64" s="36">
        <f t="shared" si="181"/>
        <v>94160</v>
      </c>
      <c r="DQ64" s="36">
        <f aca="true" t="shared" si="198" ref="DQ64:DQ73">$D$26*$DB$26</f>
        <v>13268</v>
      </c>
      <c r="DR64" s="36"/>
      <c r="DS64" s="36"/>
      <c r="DT64" s="36"/>
      <c r="DU64" s="36"/>
      <c r="DV64" s="36"/>
      <c r="DW64" s="36"/>
      <c r="DX64" s="36"/>
      <c r="DY64" s="36"/>
      <c r="DZ64" s="36"/>
      <c r="EA64" s="36"/>
      <c r="EB64" s="47"/>
      <c r="EC64" s="36">
        <f t="shared" si="182"/>
        <v>1194334</v>
      </c>
      <c r="ED64" s="36">
        <f aca="true" t="shared" si="199" ref="ED64:ED73">$E$26*$DB$26</f>
        <v>151833</v>
      </c>
      <c r="EE64" s="36"/>
      <c r="EF64" s="36"/>
      <c r="EG64" s="36"/>
      <c r="EH64" s="36"/>
      <c r="EI64" s="36"/>
      <c r="EJ64" s="36"/>
      <c r="EK64" s="36"/>
      <c r="EL64" s="36"/>
      <c r="EM64" s="36"/>
      <c r="EN64" s="36"/>
      <c r="EO64" s="47"/>
      <c r="EP64" s="36">
        <f t="shared" si="183"/>
        <v>398147</v>
      </c>
      <c r="EQ64" s="36">
        <f aca="true" t="shared" si="200" ref="EQ64:EQ73">$F$26*$DB$26</f>
        <v>50611</v>
      </c>
      <c r="ER64" s="36"/>
      <c r="ES64" s="36"/>
      <c r="ET64" s="36"/>
      <c r="EU64" s="36"/>
      <c r="EV64" s="36"/>
      <c r="EW64" s="36"/>
      <c r="EX64" s="36"/>
      <c r="EY64" s="36"/>
      <c r="EZ64" s="36"/>
      <c r="FA64" s="36"/>
      <c r="FB64" s="47"/>
      <c r="FC64" s="36">
        <f t="shared" si="184"/>
        <v>83032</v>
      </c>
      <c r="FD64" s="36">
        <f aca="true" t="shared" si="201" ref="FD64:FD73">$G$26*$K$58</f>
        <v>15132</v>
      </c>
      <c r="FE64" s="36"/>
      <c r="FF64" s="36"/>
      <c r="FG64" s="36"/>
      <c r="FH64" s="36"/>
      <c r="FI64" s="36"/>
      <c r="FJ64" s="36"/>
      <c r="FK64" s="36"/>
      <c r="FL64" s="36"/>
      <c r="FM64" s="36"/>
      <c r="FN64" s="36"/>
      <c r="FO64" s="47"/>
      <c r="FP64" s="36">
        <f t="shared" si="185"/>
        <v>27645</v>
      </c>
      <c r="FQ64" s="36">
        <f aca="true" t="shared" si="202" ref="FQ64:FQ73">$H$26*$K$58</f>
        <v>5044</v>
      </c>
      <c r="FR64" s="36"/>
      <c r="FS64" s="36"/>
      <c r="FT64" s="36"/>
      <c r="FU64" s="36"/>
      <c r="FV64" s="36"/>
      <c r="FW64" s="36"/>
      <c r="FX64" s="36"/>
      <c r="FY64" s="36"/>
      <c r="FZ64" s="36"/>
      <c r="GA64" s="36"/>
      <c r="GB64" s="47"/>
      <c r="GC64" s="36">
        <f t="shared" si="186"/>
        <v>87954</v>
      </c>
      <c r="GD64" s="36">
        <f aca="true" t="shared" si="203" ref="GD64:GD73">$I$26*$DB$26</f>
        <v>11235</v>
      </c>
      <c r="GE64" s="36"/>
      <c r="GF64" s="36"/>
      <c r="GG64" s="36"/>
      <c r="GH64" s="36"/>
      <c r="GI64" s="36"/>
      <c r="GJ64" s="36"/>
      <c r="GK64" s="36"/>
      <c r="GL64" s="36"/>
      <c r="GM64" s="36"/>
      <c r="GN64" s="36"/>
      <c r="GO64" s="47"/>
      <c r="GP64" s="36">
        <f>SUM(DC64:GO64)</f>
        <v>2841271</v>
      </c>
      <c r="GQ64" s="38">
        <f>GP64*(1+$E$11)^-7</f>
        <v>2019238.2535401403</v>
      </c>
      <c r="GR64" s="38">
        <f aca="true" t="shared" si="204" ref="GR64:GR84">CZ64+GP64</f>
        <v>8812069.225000001</v>
      </c>
      <c r="GS64" s="52">
        <f t="shared" si="187"/>
        <v>6262573.078021709</v>
      </c>
      <c r="GT64" s="36"/>
    </row>
    <row r="65" spans="1:202" ht="15.75">
      <c r="A65" s="9">
        <v>2003</v>
      </c>
      <c r="B65" s="49">
        <v>2010</v>
      </c>
      <c r="C65" s="31">
        <f t="shared" si="179"/>
        <v>326</v>
      </c>
      <c r="D65" s="31">
        <f t="shared" si="179"/>
        <v>128</v>
      </c>
      <c r="E65" s="31">
        <f t="shared" si="179"/>
        <v>1493</v>
      </c>
      <c r="F65" s="31">
        <f t="shared" si="179"/>
        <v>498</v>
      </c>
      <c r="G65" s="31">
        <f t="shared" si="179"/>
        <v>172</v>
      </c>
      <c r="H65" s="31">
        <f t="shared" si="179"/>
        <v>57</v>
      </c>
      <c r="I65" s="31">
        <f t="shared" si="179"/>
        <v>110</v>
      </c>
      <c r="J65" s="63">
        <f t="shared" si="188"/>
        <v>2330</v>
      </c>
      <c r="K65" s="53">
        <f t="shared" si="189"/>
        <v>2784</v>
      </c>
      <c r="L65" s="36">
        <f aca="true" t="shared" si="205" ref="L65:L75">$F$59*0.1295</f>
        <v>297.85</v>
      </c>
      <c r="M65" s="36">
        <f t="shared" si="190"/>
        <v>564134.375</v>
      </c>
      <c r="N65" s="36">
        <f aca="true" t="shared" si="206" ref="N65:N73">$C$64*$L$64</f>
        <v>82562.725</v>
      </c>
      <c r="O65" s="36">
        <f>$C$65*$L$65</f>
        <v>97099.1</v>
      </c>
      <c r="P65" s="36"/>
      <c r="Q65" s="36"/>
      <c r="R65" s="36"/>
      <c r="S65" s="36"/>
      <c r="T65" s="36"/>
      <c r="U65" s="36"/>
      <c r="V65" s="36"/>
      <c r="W65" s="36"/>
      <c r="X65" s="36"/>
      <c r="Y65" s="47"/>
      <c r="Z65" s="36">
        <f t="shared" si="191"/>
        <v>233618.00000000003</v>
      </c>
      <c r="AA65" s="36">
        <f aca="true" t="shared" si="207" ref="AA65:AA73">$D$64*$L$64</f>
        <v>32918.9</v>
      </c>
      <c r="AB65" s="36">
        <f>$D$65*$L$65</f>
        <v>38124.8</v>
      </c>
      <c r="AC65" s="36"/>
      <c r="AD65" s="36"/>
      <c r="AE65" s="36"/>
      <c r="AF65" s="36"/>
      <c r="AG65" s="36"/>
      <c r="AH65" s="36"/>
      <c r="AI65" s="36"/>
      <c r="AJ65" s="36"/>
      <c r="AK65" s="36"/>
      <c r="AL65" s="47"/>
      <c r="AM65" s="36">
        <f t="shared" si="192"/>
        <v>2963231.95</v>
      </c>
      <c r="AN65" s="36">
        <f aca="true" t="shared" si="208" ref="AN65:AN73">$E$64*$L$64</f>
        <v>376709.025</v>
      </c>
      <c r="AO65" s="36">
        <f>$E$65*$L$65</f>
        <v>444690.05000000005</v>
      </c>
      <c r="AP65" s="36"/>
      <c r="AQ65" s="36"/>
      <c r="AR65" s="36"/>
      <c r="AS65" s="36"/>
      <c r="AT65" s="36"/>
      <c r="AU65" s="36"/>
      <c r="AV65" s="36"/>
      <c r="AW65" s="36"/>
      <c r="AX65" s="36"/>
      <c r="AY65" s="47"/>
      <c r="AZ65" s="36">
        <f t="shared" si="193"/>
        <v>987832.4750000001</v>
      </c>
      <c r="BA65" s="36">
        <f aca="true" t="shared" si="209" ref="BA65:BA73">$F$64*$L$64</f>
        <v>125569.67500000002</v>
      </c>
      <c r="BB65" s="36">
        <f>$F$65*$L$65</f>
        <v>148329.30000000002</v>
      </c>
      <c r="BC65" s="36"/>
      <c r="BD65" s="36"/>
      <c r="BE65" s="36"/>
      <c r="BF65" s="36"/>
      <c r="BG65" s="36"/>
      <c r="BH65" s="36"/>
      <c r="BI65" s="36"/>
      <c r="BJ65" s="36"/>
      <c r="BK65" s="36"/>
      <c r="BL65" s="47"/>
      <c r="BM65" s="36">
        <f t="shared" si="194"/>
        <v>227246.6</v>
      </c>
      <c r="BN65" s="36">
        <f aca="true" t="shared" si="210" ref="BN65:BN73">$G$64*$L$64</f>
        <v>41414.100000000006</v>
      </c>
      <c r="BO65" s="36">
        <f>$G$65*$L$65</f>
        <v>51230.200000000004</v>
      </c>
      <c r="BP65" s="36"/>
      <c r="BQ65" s="36"/>
      <c r="BR65" s="36"/>
      <c r="BS65" s="36"/>
      <c r="BT65" s="36"/>
      <c r="BU65" s="36"/>
      <c r="BV65" s="36"/>
      <c r="BW65" s="36"/>
      <c r="BX65" s="36"/>
      <c r="BY65" s="47"/>
      <c r="BZ65" s="36">
        <f t="shared" si="195"/>
        <v>75660.375</v>
      </c>
      <c r="CA65" s="36">
        <f aca="true" t="shared" si="211" ref="CA65:CA73">$H$64*$L$64</f>
        <v>13804.7</v>
      </c>
      <c r="CB65" s="36">
        <f>$H$65*$L$65</f>
        <v>16977.45</v>
      </c>
      <c r="CC65" s="36"/>
      <c r="CD65" s="36"/>
      <c r="CE65" s="36"/>
      <c r="CF65" s="36"/>
      <c r="CG65" s="36"/>
      <c r="CH65" s="36"/>
      <c r="CI65" s="36"/>
      <c r="CJ65" s="36"/>
      <c r="CK65" s="36"/>
      <c r="CL65" s="47"/>
      <c r="CM65" s="36">
        <f t="shared" si="196"/>
        <v>218220.45</v>
      </c>
      <c r="CN65" s="36">
        <f aca="true" t="shared" si="212" ref="CN65:CN73">$I$64*$L$64</f>
        <v>27874.875000000004</v>
      </c>
      <c r="CO65" s="36">
        <f>$I$65*$L$65</f>
        <v>32763.500000000004</v>
      </c>
      <c r="CP65" s="36"/>
      <c r="CQ65" s="36"/>
      <c r="CR65" s="36"/>
      <c r="CS65" s="36"/>
      <c r="CT65" s="36"/>
      <c r="CU65" s="36"/>
      <c r="CV65" s="36"/>
      <c r="CW65" s="36"/>
      <c r="CX65" s="36"/>
      <c r="CY65" s="36"/>
      <c r="CZ65" s="36">
        <f t="shared" si="180"/>
        <v>6800012.625</v>
      </c>
      <c r="DA65" s="38">
        <f>CZ65*(1+$E$10)^-8</f>
        <v>4602516.206892019</v>
      </c>
      <c r="DB65" s="78">
        <f aca="true" t="shared" si="213" ref="DB65:DB75">$H$59</f>
        <v>0</v>
      </c>
      <c r="DC65" s="36">
        <f t="shared" si="197"/>
        <v>618375</v>
      </c>
      <c r="DD65" s="36">
        <f aca="true" t="shared" si="214" ref="DD65:DD73">$C$64*$DB$64</f>
        <v>90501</v>
      </c>
      <c r="DE65" s="36">
        <f>$C$65*$DB$65</f>
        <v>0</v>
      </c>
      <c r="DF65" s="36"/>
      <c r="DG65" s="36"/>
      <c r="DH65" s="36"/>
      <c r="DI65" s="36"/>
      <c r="DJ65" s="36"/>
      <c r="DK65" s="36"/>
      <c r="DL65" s="36"/>
      <c r="DM65" s="36"/>
      <c r="DN65" s="36"/>
      <c r="DO65" s="47"/>
      <c r="DP65" s="36">
        <f t="shared" si="181"/>
        <v>94160</v>
      </c>
      <c r="DQ65" s="36">
        <f t="shared" si="198"/>
        <v>13268</v>
      </c>
      <c r="DR65" s="36">
        <f aca="true" t="shared" si="215" ref="DR65:DR74">$D$27*$DB$27</f>
        <v>0</v>
      </c>
      <c r="DS65" s="36"/>
      <c r="DT65" s="36"/>
      <c r="DU65" s="36"/>
      <c r="DV65" s="36"/>
      <c r="DW65" s="36"/>
      <c r="DX65" s="36"/>
      <c r="DY65" s="36"/>
      <c r="DZ65" s="36"/>
      <c r="EA65" s="36"/>
      <c r="EB65" s="47"/>
      <c r="EC65" s="36">
        <f t="shared" si="182"/>
        <v>1194334</v>
      </c>
      <c r="ED65" s="36">
        <f t="shared" si="199"/>
        <v>151833</v>
      </c>
      <c r="EE65" s="36">
        <f aca="true" t="shared" si="216" ref="EE65:EE74">$E$27*$DB$27</f>
        <v>0</v>
      </c>
      <c r="EF65" s="36"/>
      <c r="EG65" s="36"/>
      <c r="EH65" s="36"/>
      <c r="EI65" s="36"/>
      <c r="EJ65" s="36"/>
      <c r="EK65" s="36"/>
      <c r="EL65" s="36"/>
      <c r="EM65" s="36"/>
      <c r="EN65" s="36"/>
      <c r="EO65" s="47"/>
      <c r="EP65" s="36">
        <f t="shared" si="183"/>
        <v>398147</v>
      </c>
      <c r="EQ65" s="36">
        <f t="shared" si="200"/>
        <v>50611</v>
      </c>
      <c r="ER65" s="36">
        <f aca="true" t="shared" si="217" ref="ER65:ER74">$F$27*$DB$27</f>
        <v>0</v>
      </c>
      <c r="ES65" s="36"/>
      <c r="ET65" s="36"/>
      <c r="EU65" s="36"/>
      <c r="EV65" s="36"/>
      <c r="EW65" s="36"/>
      <c r="EX65" s="36"/>
      <c r="EY65" s="36"/>
      <c r="EZ65" s="36"/>
      <c r="FA65" s="36"/>
      <c r="FB65" s="47"/>
      <c r="FC65" s="36">
        <f t="shared" si="184"/>
        <v>83032</v>
      </c>
      <c r="FD65" s="36">
        <f t="shared" si="201"/>
        <v>15132</v>
      </c>
      <c r="FE65" s="36">
        <f aca="true" t="shared" si="218" ref="FE65:FE74">$G$27*$K$59</f>
        <v>0</v>
      </c>
      <c r="FF65" s="36"/>
      <c r="FG65" s="36"/>
      <c r="FH65" s="36"/>
      <c r="FI65" s="36"/>
      <c r="FJ65" s="36"/>
      <c r="FK65" s="36"/>
      <c r="FL65" s="36"/>
      <c r="FM65" s="36"/>
      <c r="FN65" s="36"/>
      <c r="FO65" s="47"/>
      <c r="FP65" s="36">
        <f t="shared" si="185"/>
        <v>27645</v>
      </c>
      <c r="FQ65" s="36">
        <f t="shared" si="202"/>
        <v>5044</v>
      </c>
      <c r="FR65" s="36">
        <f aca="true" t="shared" si="219" ref="FR65:FR74">$H$27*$K$59</f>
        <v>0</v>
      </c>
      <c r="FS65" s="36"/>
      <c r="FT65" s="36"/>
      <c r="FU65" s="36"/>
      <c r="FV65" s="36"/>
      <c r="FW65" s="36"/>
      <c r="FX65" s="36"/>
      <c r="FY65" s="36"/>
      <c r="FZ65" s="36"/>
      <c r="GA65" s="36"/>
      <c r="GB65" s="47"/>
      <c r="GC65" s="36">
        <f t="shared" si="186"/>
        <v>87954</v>
      </c>
      <c r="GD65" s="36">
        <f t="shared" si="203"/>
        <v>11235</v>
      </c>
      <c r="GE65" s="36">
        <f aca="true" t="shared" si="220" ref="GE65:GE74">$I$27*$DB$27</f>
        <v>0</v>
      </c>
      <c r="GF65" s="36"/>
      <c r="GG65" s="36"/>
      <c r="GH65" s="36"/>
      <c r="GI65" s="36"/>
      <c r="GJ65" s="36"/>
      <c r="GK65" s="36"/>
      <c r="GL65" s="36"/>
      <c r="GM65" s="36"/>
      <c r="GN65" s="36"/>
      <c r="GO65" s="47"/>
      <c r="GP65" s="36">
        <f>SUM(DC65:GO65)</f>
        <v>2841271</v>
      </c>
      <c r="GQ65" s="38">
        <f>GP65*(1+$E$11)^-8</f>
        <v>1923084.0509906102</v>
      </c>
      <c r="GR65" s="38">
        <f t="shared" si="204"/>
        <v>9641283.625</v>
      </c>
      <c r="GS65" s="52">
        <f t="shared" si="187"/>
        <v>6525600.2578826295</v>
      </c>
      <c r="GT65" s="9"/>
    </row>
    <row r="66" spans="1:202" ht="15.75">
      <c r="A66" s="9">
        <v>2004</v>
      </c>
      <c r="B66" s="49">
        <v>2011</v>
      </c>
      <c r="C66" s="31">
        <f t="shared" si="179"/>
        <v>340</v>
      </c>
      <c r="D66" s="31">
        <f t="shared" si="179"/>
        <v>132</v>
      </c>
      <c r="E66" s="31">
        <f t="shared" si="179"/>
        <v>1571</v>
      </c>
      <c r="F66" s="31">
        <f t="shared" si="179"/>
        <v>524</v>
      </c>
      <c r="G66" s="31">
        <f t="shared" si="179"/>
        <v>189</v>
      </c>
      <c r="H66" s="31">
        <f t="shared" si="179"/>
        <v>63</v>
      </c>
      <c r="I66" s="31">
        <f t="shared" si="179"/>
        <v>116</v>
      </c>
      <c r="J66" s="63">
        <f t="shared" si="188"/>
        <v>2463</v>
      </c>
      <c r="K66" s="53">
        <f t="shared" si="189"/>
        <v>2935</v>
      </c>
      <c r="L66" s="36">
        <f t="shared" si="205"/>
        <v>297.85</v>
      </c>
      <c r="M66" s="36">
        <f t="shared" si="190"/>
        <v>564134.375</v>
      </c>
      <c r="N66" s="36">
        <f t="shared" si="206"/>
        <v>82562.725</v>
      </c>
      <c r="O66" s="36">
        <f aca="true" t="shared" si="221" ref="O66:O74">$C$65*$L$65</f>
        <v>97099.1</v>
      </c>
      <c r="P66" s="36">
        <f>$C$66*$L$66</f>
        <v>101269.00000000001</v>
      </c>
      <c r="Q66" s="36"/>
      <c r="R66" s="36"/>
      <c r="S66" s="36"/>
      <c r="T66" s="36"/>
      <c r="U66" s="36"/>
      <c r="V66" s="36"/>
      <c r="W66" s="36"/>
      <c r="X66" s="36"/>
      <c r="Y66" s="47"/>
      <c r="Z66" s="36">
        <f t="shared" si="191"/>
        <v>233618.00000000003</v>
      </c>
      <c r="AA66" s="36">
        <f t="shared" si="207"/>
        <v>32918.9</v>
      </c>
      <c r="AB66" s="36">
        <f aca="true" t="shared" si="222" ref="AB66:AB74">$D$65*$L$65</f>
        <v>38124.8</v>
      </c>
      <c r="AC66" s="36">
        <f>$D$66*$L$66</f>
        <v>39316.200000000004</v>
      </c>
      <c r="AD66" s="36"/>
      <c r="AE66" s="36"/>
      <c r="AF66" s="36"/>
      <c r="AG66" s="36"/>
      <c r="AH66" s="36"/>
      <c r="AI66" s="36"/>
      <c r="AJ66" s="36"/>
      <c r="AK66" s="36"/>
      <c r="AL66" s="47"/>
      <c r="AM66" s="36">
        <f t="shared" si="192"/>
        <v>2963231.95</v>
      </c>
      <c r="AN66" s="36">
        <f t="shared" si="208"/>
        <v>376709.025</v>
      </c>
      <c r="AO66" s="36">
        <f aca="true" t="shared" si="223" ref="AO66:AO74">$E$65*$L$65</f>
        <v>444690.05000000005</v>
      </c>
      <c r="AP66" s="36">
        <f>$E$66*$L$66</f>
        <v>467922.35000000003</v>
      </c>
      <c r="AQ66" s="36"/>
      <c r="AR66" s="36"/>
      <c r="AS66" s="36"/>
      <c r="AT66" s="36"/>
      <c r="AU66" s="36"/>
      <c r="AV66" s="36"/>
      <c r="AW66" s="36"/>
      <c r="AX66" s="36"/>
      <c r="AY66" s="47"/>
      <c r="AZ66" s="36">
        <f t="shared" si="193"/>
        <v>987832.4750000001</v>
      </c>
      <c r="BA66" s="36">
        <f t="shared" si="209"/>
        <v>125569.67500000002</v>
      </c>
      <c r="BB66" s="36">
        <f aca="true" t="shared" si="224" ref="BB66:BB74">$F$65*$L$65</f>
        <v>148329.30000000002</v>
      </c>
      <c r="BC66" s="36">
        <f>$F$66*$L$66</f>
        <v>156073.40000000002</v>
      </c>
      <c r="BD66" s="36"/>
      <c r="BE66" s="36"/>
      <c r="BF66" s="36"/>
      <c r="BG66" s="36"/>
      <c r="BH66" s="36"/>
      <c r="BI66" s="36"/>
      <c r="BJ66" s="36"/>
      <c r="BK66" s="36"/>
      <c r="BL66" s="47"/>
      <c r="BM66" s="36">
        <f t="shared" si="194"/>
        <v>227246.6</v>
      </c>
      <c r="BN66" s="36">
        <f t="shared" si="210"/>
        <v>41414.100000000006</v>
      </c>
      <c r="BO66" s="36">
        <f aca="true" t="shared" si="225" ref="BO66:BO74">$G$65*$L$65</f>
        <v>51230.200000000004</v>
      </c>
      <c r="BP66" s="36">
        <f>$G$66*$L$66</f>
        <v>56293.65</v>
      </c>
      <c r="BQ66" s="36"/>
      <c r="BR66" s="36"/>
      <c r="BS66" s="36"/>
      <c r="BT66" s="36"/>
      <c r="BU66" s="36"/>
      <c r="BV66" s="36"/>
      <c r="BW66" s="36"/>
      <c r="BX66" s="36"/>
      <c r="BY66" s="47"/>
      <c r="BZ66" s="36">
        <f t="shared" si="195"/>
        <v>75660.375</v>
      </c>
      <c r="CA66" s="36">
        <f t="shared" si="211"/>
        <v>13804.7</v>
      </c>
      <c r="CB66" s="36">
        <f aca="true" t="shared" si="226" ref="CB66:CB74">$H$65*$L$65</f>
        <v>16977.45</v>
      </c>
      <c r="CC66" s="36">
        <f>$H$66*$L$66</f>
        <v>18764.550000000003</v>
      </c>
      <c r="CD66" s="36"/>
      <c r="CE66" s="36"/>
      <c r="CF66" s="36"/>
      <c r="CG66" s="36"/>
      <c r="CH66" s="36"/>
      <c r="CI66" s="36"/>
      <c r="CJ66" s="36"/>
      <c r="CK66" s="36"/>
      <c r="CL66" s="47"/>
      <c r="CM66" s="36">
        <f t="shared" si="196"/>
        <v>218220.45</v>
      </c>
      <c r="CN66" s="36">
        <f t="shared" si="212"/>
        <v>27874.875000000004</v>
      </c>
      <c r="CO66" s="36">
        <f aca="true" t="shared" si="227" ref="CO66:CO74">$I$65*$L$65</f>
        <v>32763.500000000004</v>
      </c>
      <c r="CP66" s="36">
        <f aca="true" t="shared" si="228" ref="CP66:CP75">$I$66*$L$66</f>
        <v>34550.600000000006</v>
      </c>
      <c r="CQ66" s="36"/>
      <c r="CR66" s="36"/>
      <c r="CS66" s="36"/>
      <c r="CT66" s="36"/>
      <c r="CU66" s="36"/>
      <c r="CV66" s="36"/>
      <c r="CW66" s="36"/>
      <c r="CX66" s="36"/>
      <c r="CY66" s="36"/>
      <c r="CZ66" s="36">
        <f t="shared" si="180"/>
        <v>7674202.374999999</v>
      </c>
      <c r="DA66" s="38">
        <f>CZ66*(1+$E$10)^-9</f>
        <v>4946859.275784795</v>
      </c>
      <c r="DB66" s="78">
        <f t="shared" si="213"/>
        <v>0</v>
      </c>
      <c r="DC66" s="36">
        <f t="shared" si="197"/>
        <v>618375</v>
      </c>
      <c r="DD66" s="36">
        <f t="shared" si="214"/>
        <v>90501</v>
      </c>
      <c r="DE66" s="36">
        <f aca="true" t="shared" si="229" ref="DE66:DE74">$C$65*$DB$65</f>
        <v>0</v>
      </c>
      <c r="DF66" s="36">
        <f>$C$66*$DB$66</f>
        <v>0</v>
      </c>
      <c r="DG66" s="36"/>
      <c r="DH66" s="36"/>
      <c r="DI66" s="36"/>
      <c r="DJ66" s="36"/>
      <c r="DK66" s="36"/>
      <c r="DL66" s="36"/>
      <c r="DM66" s="36"/>
      <c r="DN66" s="36"/>
      <c r="DO66" s="47"/>
      <c r="DP66" s="36">
        <f t="shared" si="181"/>
        <v>94160</v>
      </c>
      <c r="DQ66" s="36">
        <f t="shared" si="198"/>
        <v>13268</v>
      </c>
      <c r="DR66" s="36">
        <f t="shared" si="215"/>
        <v>0</v>
      </c>
      <c r="DS66" s="36">
        <f aca="true" t="shared" si="230" ref="DS66:DS75">$D$28*$DB$28</f>
        <v>0</v>
      </c>
      <c r="DT66" s="36"/>
      <c r="DU66" s="36"/>
      <c r="DV66" s="36"/>
      <c r="DW66" s="36"/>
      <c r="DX66" s="36"/>
      <c r="DY66" s="36"/>
      <c r="DZ66" s="36"/>
      <c r="EA66" s="36"/>
      <c r="EB66" s="47"/>
      <c r="EC66" s="36">
        <f t="shared" si="182"/>
        <v>1194334</v>
      </c>
      <c r="ED66" s="36">
        <f t="shared" si="199"/>
        <v>151833</v>
      </c>
      <c r="EE66" s="36">
        <f t="shared" si="216"/>
        <v>0</v>
      </c>
      <c r="EF66" s="36">
        <f aca="true" t="shared" si="231" ref="EF66:EF75">$E$28*$DB$28</f>
        <v>0</v>
      </c>
      <c r="EG66" s="36"/>
      <c r="EH66" s="36"/>
      <c r="EI66" s="36"/>
      <c r="EJ66" s="36"/>
      <c r="EK66" s="36"/>
      <c r="EL66" s="36"/>
      <c r="EM66" s="36"/>
      <c r="EN66" s="36"/>
      <c r="EO66" s="47"/>
      <c r="EP66" s="36">
        <f t="shared" si="183"/>
        <v>398147</v>
      </c>
      <c r="EQ66" s="36">
        <f t="shared" si="200"/>
        <v>50611</v>
      </c>
      <c r="ER66" s="36">
        <f t="shared" si="217"/>
        <v>0</v>
      </c>
      <c r="ES66" s="36">
        <f aca="true" t="shared" si="232" ref="ES66:ES75">$F$28*$DB$28</f>
        <v>0</v>
      </c>
      <c r="ET66" s="36"/>
      <c r="EU66" s="36"/>
      <c r="EV66" s="36"/>
      <c r="EW66" s="36"/>
      <c r="EX66" s="36"/>
      <c r="EY66" s="36"/>
      <c r="EZ66" s="36"/>
      <c r="FA66" s="36"/>
      <c r="FB66" s="47"/>
      <c r="FC66" s="36">
        <f t="shared" si="184"/>
        <v>83032</v>
      </c>
      <c r="FD66" s="36">
        <f t="shared" si="201"/>
        <v>15132</v>
      </c>
      <c r="FE66" s="36">
        <f t="shared" si="218"/>
        <v>0</v>
      </c>
      <c r="FF66" s="36">
        <f aca="true" t="shared" si="233" ref="FF66:FF75">$G$28*$K$59</f>
        <v>0</v>
      </c>
      <c r="FG66" s="36"/>
      <c r="FH66" s="36"/>
      <c r="FI66" s="36"/>
      <c r="FJ66" s="36"/>
      <c r="FK66" s="36"/>
      <c r="FL66" s="36"/>
      <c r="FM66" s="36"/>
      <c r="FN66" s="36"/>
      <c r="FO66" s="47"/>
      <c r="FP66" s="36">
        <f t="shared" si="185"/>
        <v>27645</v>
      </c>
      <c r="FQ66" s="36">
        <f t="shared" si="202"/>
        <v>5044</v>
      </c>
      <c r="FR66" s="36">
        <f t="shared" si="219"/>
        <v>0</v>
      </c>
      <c r="FS66" s="36">
        <f aca="true" t="shared" si="234" ref="FS66:FS75">$H$28*$K$59</f>
        <v>0</v>
      </c>
      <c r="FT66" s="36"/>
      <c r="FU66" s="36"/>
      <c r="FV66" s="36"/>
      <c r="FW66" s="36"/>
      <c r="FX66" s="36"/>
      <c r="FY66" s="36"/>
      <c r="FZ66" s="36"/>
      <c r="GA66" s="36"/>
      <c r="GB66" s="47"/>
      <c r="GC66" s="36">
        <f t="shared" si="186"/>
        <v>87954</v>
      </c>
      <c r="GD66" s="36">
        <f t="shared" si="203"/>
        <v>11235</v>
      </c>
      <c r="GE66" s="36">
        <f t="shared" si="220"/>
        <v>0</v>
      </c>
      <c r="GF66" s="36">
        <f aca="true" t="shared" si="235" ref="GF66:GF75">$I$28*$DB$28</f>
        <v>0</v>
      </c>
      <c r="GG66" s="36"/>
      <c r="GH66" s="36"/>
      <c r="GI66" s="36"/>
      <c r="GJ66" s="36"/>
      <c r="GK66" s="36"/>
      <c r="GL66" s="36"/>
      <c r="GM66" s="36"/>
      <c r="GN66" s="36"/>
      <c r="GO66" s="47"/>
      <c r="GP66" s="36">
        <f>SUM(DC66:GO66)</f>
        <v>2841271</v>
      </c>
      <c r="GQ66" s="38">
        <f>GP66*(1+$E$11)^-9</f>
        <v>1831508.619991057</v>
      </c>
      <c r="GR66" s="38">
        <f t="shared" si="204"/>
        <v>10515473.375</v>
      </c>
      <c r="GS66" s="52">
        <f t="shared" si="187"/>
        <v>6778367.895775853</v>
      </c>
      <c r="GT66" s="9"/>
    </row>
    <row r="67" spans="1:202" ht="15.75">
      <c r="A67" s="9">
        <v>2005</v>
      </c>
      <c r="B67" s="49">
        <v>2012</v>
      </c>
      <c r="C67" s="31">
        <f t="shared" si="179"/>
        <v>356</v>
      </c>
      <c r="D67" s="31">
        <f t="shared" si="179"/>
        <v>136</v>
      </c>
      <c r="E67" s="31">
        <f t="shared" si="179"/>
        <v>1652</v>
      </c>
      <c r="F67" s="31">
        <f t="shared" si="179"/>
        <v>551</v>
      </c>
      <c r="G67" s="31">
        <f t="shared" si="179"/>
        <v>209</v>
      </c>
      <c r="H67" s="31">
        <f t="shared" si="179"/>
        <v>70</v>
      </c>
      <c r="I67" s="31">
        <f t="shared" si="179"/>
        <v>122</v>
      </c>
      <c r="J67" s="63">
        <f t="shared" si="188"/>
        <v>2604</v>
      </c>
      <c r="K67" s="53">
        <f t="shared" si="189"/>
        <v>3096</v>
      </c>
      <c r="L67" s="36">
        <f t="shared" si="205"/>
        <v>297.85</v>
      </c>
      <c r="M67" s="36">
        <f t="shared" si="190"/>
        <v>564134.375</v>
      </c>
      <c r="N67" s="36">
        <f t="shared" si="206"/>
        <v>82562.725</v>
      </c>
      <c r="O67" s="36">
        <f t="shared" si="221"/>
        <v>97099.1</v>
      </c>
      <c r="P67" s="36">
        <f aca="true" t="shared" si="236" ref="P67:P75">$C$66*$L$66</f>
        <v>101269.00000000001</v>
      </c>
      <c r="Q67" s="36">
        <f>$C$67*$L$67</f>
        <v>106034.6</v>
      </c>
      <c r="R67" s="36"/>
      <c r="S67" s="36"/>
      <c r="T67" s="36"/>
      <c r="U67" s="36"/>
      <c r="V67" s="36"/>
      <c r="W67" s="36"/>
      <c r="X67" s="36"/>
      <c r="Y67" s="47"/>
      <c r="Z67" s="36">
        <f t="shared" si="191"/>
        <v>233618.00000000003</v>
      </c>
      <c r="AA67" s="36">
        <f t="shared" si="207"/>
        <v>32918.9</v>
      </c>
      <c r="AB67" s="36">
        <f t="shared" si="222"/>
        <v>38124.8</v>
      </c>
      <c r="AC67" s="36">
        <f aca="true" t="shared" si="237" ref="AC67:AC75">$D$66*$L$66</f>
        <v>39316.200000000004</v>
      </c>
      <c r="AD67" s="36">
        <f>$D$67*$L$67</f>
        <v>40507.600000000006</v>
      </c>
      <c r="AE67" s="36"/>
      <c r="AF67" s="36"/>
      <c r="AG67" s="36"/>
      <c r="AH67" s="36"/>
      <c r="AI67" s="36"/>
      <c r="AJ67" s="36"/>
      <c r="AK67" s="36"/>
      <c r="AL67" s="47"/>
      <c r="AM67" s="36">
        <f t="shared" si="192"/>
        <v>2963231.95</v>
      </c>
      <c r="AN67" s="36">
        <f t="shared" si="208"/>
        <v>376709.025</v>
      </c>
      <c r="AO67" s="36">
        <f t="shared" si="223"/>
        <v>444690.05000000005</v>
      </c>
      <c r="AP67" s="36">
        <f aca="true" t="shared" si="238" ref="AP67:AP75">$E$66*$L$66</f>
        <v>467922.35000000003</v>
      </c>
      <c r="AQ67" s="36">
        <f>$E$67*$L$67</f>
        <v>492048.2</v>
      </c>
      <c r="AR67" s="36"/>
      <c r="AS67" s="36"/>
      <c r="AT67" s="36"/>
      <c r="AU67" s="36"/>
      <c r="AV67" s="36"/>
      <c r="AW67" s="36"/>
      <c r="AX67" s="36"/>
      <c r="AY67" s="47"/>
      <c r="AZ67" s="36">
        <f t="shared" si="193"/>
        <v>987832.4750000001</v>
      </c>
      <c r="BA67" s="36">
        <f t="shared" si="209"/>
        <v>125569.67500000002</v>
      </c>
      <c r="BB67" s="36">
        <f t="shared" si="224"/>
        <v>148329.30000000002</v>
      </c>
      <c r="BC67" s="36">
        <f aca="true" t="shared" si="239" ref="BC67:BC75">$F$66*$L$66</f>
        <v>156073.40000000002</v>
      </c>
      <c r="BD67" s="36">
        <f>$F$67*$L$67</f>
        <v>164115.35</v>
      </c>
      <c r="BE67" s="36"/>
      <c r="BF67" s="36"/>
      <c r="BG67" s="36"/>
      <c r="BH67" s="36"/>
      <c r="BI67" s="36"/>
      <c r="BJ67" s="36"/>
      <c r="BK67" s="36"/>
      <c r="BL67" s="47"/>
      <c r="BM67" s="36">
        <f t="shared" si="194"/>
        <v>227246.6</v>
      </c>
      <c r="BN67" s="36">
        <f t="shared" si="210"/>
        <v>41414.100000000006</v>
      </c>
      <c r="BO67" s="36">
        <f t="shared" si="225"/>
        <v>51230.200000000004</v>
      </c>
      <c r="BP67" s="36">
        <f aca="true" t="shared" si="240" ref="BP67:BP75">$G$66*$L$66</f>
        <v>56293.65</v>
      </c>
      <c r="BQ67" s="36">
        <f>$G$67*$L$67</f>
        <v>62250.65</v>
      </c>
      <c r="BR67" s="36"/>
      <c r="BS67" s="36"/>
      <c r="BT67" s="36"/>
      <c r="BU67" s="36"/>
      <c r="BV67" s="36"/>
      <c r="BW67" s="36"/>
      <c r="BX67" s="36"/>
      <c r="BY67" s="47"/>
      <c r="BZ67" s="36">
        <f t="shared" si="195"/>
        <v>75660.375</v>
      </c>
      <c r="CA67" s="36">
        <f t="shared" si="211"/>
        <v>13804.7</v>
      </c>
      <c r="CB67" s="36">
        <f t="shared" si="226"/>
        <v>16977.45</v>
      </c>
      <c r="CC67" s="36">
        <f aca="true" t="shared" si="241" ref="CC67:CC75">$H$66*$L$66</f>
        <v>18764.550000000003</v>
      </c>
      <c r="CD67" s="36">
        <f>$H$67*$L$67</f>
        <v>20849.5</v>
      </c>
      <c r="CE67" s="36"/>
      <c r="CF67" s="36"/>
      <c r="CG67" s="36"/>
      <c r="CH67" s="36"/>
      <c r="CI67" s="36"/>
      <c r="CJ67" s="36"/>
      <c r="CK67" s="36"/>
      <c r="CL67" s="47"/>
      <c r="CM67" s="36">
        <f t="shared" si="196"/>
        <v>218220.45</v>
      </c>
      <c r="CN67" s="36">
        <f t="shared" si="212"/>
        <v>27874.875000000004</v>
      </c>
      <c r="CO67" s="36">
        <f t="shared" si="227"/>
        <v>32763.500000000004</v>
      </c>
      <c r="CP67" s="36">
        <f t="shared" si="228"/>
        <v>34550.600000000006</v>
      </c>
      <c r="CQ67" s="36">
        <f>$I$67*$L$67</f>
        <v>36337.700000000004</v>
      </c>
      <c r="CR67" s="36"/>
      <c r="CS67" s="36"/>
      <c r="CT67" s="36"/>
      <c r="CU67" s="36"/>
      <c r="CV67" s="36"/>
      <c r="CW67" s="36"/>
      <c r="CX67" s="36"/>
      <c r="CY67" s="36"/>
      <c r="CZ67" s="36">
        <f t="shared" si="180"/>
        <v>8596345.974999998</v>
      </c>
      <c r="DA67" s="38">
        <f>CZ67*(1+$E$10)^-10</f>
        <v>5277410.72607426</v>
      </c>
      <c r="DB67" s="78">
        <f t="shared" si="213"/>
        <v>0</v>
      </c>
      <c r="DC67" s="36">
        <f t="shared" si="197"/>
        <v>618375</v>
      </c>
      <c r="DD67" s="36">
        <f t="shared" si="214"/>
        <v>90501</v>
      </c>
      <c r="DE67" s="36">
        <f t="shared" si="229"/>
        <v>0</v>
      </c>
      <c r="DF67" s="36">
        <f aca="true" t="shared" si="242" ref="DF67:DF75">$C$66*$DB$66</f>
        <v>0</v>
      </c>
      <c r="DG67" s="36">
        <f>$C$67*$DB$67</f>
        <v>0</v>
      </c>
      <c r="DH67" s="36"/>
      <c r="DI67" s="36"/>
      <c r="DJ67" s="36"/>
      <c r="DK67" s="36"/>
      <c r="DL67" s="36"/>
      <c r="DM67" s="36"/>
      <c r="DN67" s="36"/>
      <c r="DO67" s="47"/>
      <c r="DP67" s="36">
        <f t="shared" si="181"/>
        <v>94160</v>
      </c>
      <c r="DQ67" s="36">
        <f t="shared" si="198"/>
        <v>13268</v>
      </c>
      <c r="DR67" s="36">
        <f t="shared" si="215"/>
        <v>0</v>
      </c>
      <c r="DS67" s="36">
        <f t="shared" si="230"/>
        <v>0</v>
      </c>
      <c r="DT67" s="36">
        <f aca="true" t="shared" si="243" ref="DT67:DT76">$D$29*$DB$29</f>
        <v>0</v>
      </c>
      <c r="DU67" s="36"/>
      <c r="DV67" s="36"/>
      <c r="DW67" s="36"/>
      <c r="DX67" s="36"/>
      <c r="DY67" s="36"/>
      <c r="DZ67" s="36"/>
      <c r="EA67" s="36"/>
      <c r="EB67" s="47"/>
      <c r="EC67" s="36">
        <f t="shared" si="182"/>
        <v>1194334</v>
      </c>
      <c r="ED67" s="36">
        <f t="shared" si="199"/>
        <v>151833</v>
      </c>
      <c r="EE67" s="36">
        <f t="shared" si="216"/>
        <v>0</v>
      </c>
      <c r="EF67" s="36">
        <f t="shared" si="231"/>
        <v>0</v>
      </c>
      <c r="EG67" s="36">
        <f aca="true" t="shared" si="244" ref="EG67:EG76">$E$29*$DB$29</f>
        <v>0</v>
      </c>
      <c r="EH67" s="36"/>
      <c r="EI67" s="36"/>
      <c r="EJ67" s="36"/>
      <c r="EK67" s="36"/>
      <c r="EL67" s="36"/>
      <c r="EM67" s="36"/>
      <c r="EN67" s="36"/>
      <c r="EO67" s="47"/>
      <c r="EP67" s="36">
        <f t="shared" si="183"/>
        <v>398147</v>
      </c>
      <c r="EQ67" s="36">
        <f t="shared" si="200"/>
        <v>50611</v>
      </c>
      <c r="ER67" s="36">
        <f t="shared" si="217"/>
        <v>0</v>
      </c>
      <c r="ES67" s="36">
        <f t="shared" si="232"/>
        <v>0</v>
      </c>
      <c r="ET67" s="36">
        <f aca="true" t="shared" si="245" ref="ET67:ET76">$F$29*$DB$29</f>
        <v>0</v>
      </c>
      <c r="EU67" s="36"/>
      <c r="EV67" s="36"/>
      <c r="EW67" s="36"/>
      <c r="EX67" s="36"/>
      <c r="EY67" s="36"/>
      <c r="EZ67" s="36"/>
      <c r="FA67" s="36"/>
      <c r="FB67" s="47"/>
      <c r="FC67" s="36">
        <f t="shared" si="184"/>
        <v>83032</v>
      </c>
      <c r="FD67" s="36">
        <f t="shared" si="201"/>
        <v>15132</v>
      </c>
      <c r="FE67" s="36">
        <f t="shared" si="218"/>
        <v>0</v>
      </c>
      <c r="FF67" s="36">
        <f t="shared" si="233"/>
        <v>0</v>
      </c>
      <c r="FG67" s="36">
        <f aca="true" t="shared" si="246" ref="FG67:FG76">$G$29*$K$59</f>
        <v>0</v>
      </c>
      <c r="FH67" s="36"/>
      <c r="FI67" s="36"/>
      <c r="FJ67" s="36"/>
      <c r="FK67" s="36"/>
      <c r="FL67" s="36"/>
      <c r="FM67" s="36"/>
      <c r="FN67" s="36"/>
      <c r="FO67" s="47"/>
      <c r="FP67" s="36">
        <f t="shared" si="185"/>
        <v>27645</v>
      </c>
      <c r="FQ67" s="36">
        <f t="shared" si="202"/>
        <v>5044</v>
      </c>
      <c r="FR67" s="36">
        <f t="shared" si="219"/>
        <v>0</v>
      </c>
      <c r="FS67" s="36">
        <f t="shared" si="234"/>
        <v>0</v>
      </c>
      <c r="FT67" s="36">
        <f aca="true" t="shared" si="247" ref="FT67:FT76">$H$29*$K$59</f>
        <v>0</v>
      </c>
      <c r="FU67" s="36"/>
      <c r="FV67" s="36"/>
      <c r="FW67" s="36"/>
      <c r="FX67" s="36"/>
      <c r="FY67" s="36"/>
      <c r="FZ67" s="36"/>
      <c r="GA67" s="36"/>
      <c r="GB67" s="47"/>
      <c r="GC67" s="36">
        <f t="shared" si="186"/>
        <v>87954</v>
      </c>
      <c r="GD67" s="36">
        <f t="shared" si="203"/>
        <v>11235</v>
      </c>
      <c r="GE67" s="36">
        <f t="shared" si="220"/>
        <v>0</v>
      </c>
      <c r="GF67" s="36">
        <f t="shared" si="235"/>
        <v>0</v>
      </c>
      <c r="GG67" s="36">
        <f aca="true" t="shared" si="248" ref="GG67:GG76">$I$29*$DB$29</f>
        <v>0</v>
      </c>
      <c r="GH67" s="36"/>
      <c r="GI67" s="36"/>
      <c r="GJ67" s="36"/>
      <c r="GK67" s="36"/>
      <c r="GL67" s="36"/>
      <c r="GM67" s="36"/>
      <c r="GN67" s="36"/>
      <c r="GO67" s="47"/>
      <c r="GP67" s="36">
        <f>SUM(DC67:GO67)</f>
        <v>2841271</v>
      </c>
      <c r="GQ67" s="38">
        <f>GP67*(1+$E$11)^-10</f>
        <v>1744293.9238010067</v>
      </c>
      <c r="GR67" s="38">
        <f t="shared" si="204"/>
        <v>11437616.974999998</v>
      </c>
      <c r="GS67" s="52">
        <f t="shared" si="187"/>
        <v>7021704.6498752665</v>
      </c>
      <c r="GT67" s="9"/>
    </row>
    <row r="68" spans="1:202" ht="15.75">
      <c r="A68" s="9">
        <v>2006</v>
      </c>
      <c r="B68" s="49">
        <v>2013</v>
      </c>
      <c r="C68" s="31">
        <f t="shared" si="179"/>
        <v>372</v>
      </c>
      <c r="D68" s="31">
        <f t="shared" si="179"/>
        <v>140</v>
      </c>
      <c r="E68" s="31">
        <f t="shared" si="179"/>
        <v>1738</v>
      </c>
      <c r="F68" s="31">
        <f t="shared" si="179"/>
        <v>579</v>
      </c>
      <c r="G68" s="31">
        <f t="shared" si="179"/>
        <v>230</v>
      </c>
      <c r="H68" s="31">
        <f t="shared" si="179"/>
        <v>77</v>
      </c>
      <c r="I68" s="31">
        <f t="shared" si="179"/>
        <v>128</v>
      </c>
      <c r="J68" s="63">
        <f t="shared" si="188"/>
        <v>2752</v>
      </c>
      <c r="K68" s="53">
        <f t="shared" si="189"/>
        <v>3264</v>
      </c>
      <c r="L68" s="36">
        <f t="shared" si="205"/>
        <v>297.85</v>
      </c>
      <c r="M68" s="36">
        <f t="shared" si="190"/>
        <v>564134.375</v>
      </c>
      <c r="N68" s="36">
        <f t="shared" si="206"/>
        <v>82562.725</v>
      </c>
      <c r="O68" s="36">
        <f t="shared" si="221"/>
        <v>97099.1</v>
      </c>
      <c r="P68" s="36">
        <f t="shared" si="236"/>
        <v>101269.00000000001</v>
      </c>
      <c r="Q68" s="36">
        <f aca="true" t="shared" si="249" ref="Q68:Q76">$C$67*$L$67</f>
        <v>106034.6</v>
      </c>
      <c r="R68" s="36">
        <f>$C$68*$L$68</f>
        <v>110800.20000000001</v>
      </c>
      <c r="S68" s="36"/>
      <c r="T68" s="36"/>
      <c r="U68" s="36"/>
      <c r="V68" s="36"/>
      <c r="W68" s="36"/>
      <c r="X68" s="36"/>
      <c r="Y68" s="47"/>
      <c r="Z68" s="36">
        <f t="shared" si="191"/>
        <v>233618.00000000003</v>
      </c>
      <c r="AA68" s="36">
        <f t="shared" si="207"/>
        <v>32918.9</v>
      </c>
      <c r="AB68" s="36">
        <f t="shared" si="222"/>
        <v>38124.8</v>
      </c>
      <c r="AC68" s="36">
        <f t="shared" si="237"/>
        <v>39316.200000000004</v>
      </c>
      <c r="AD68" s="36">
        <f aca="true" t="shared" si="250" ref="AD68:AD76">$D$67*$L$67</f>
        <v>40507.600000000006</v>
      </c>
      <c r="AE68" s="36">
        <f>$D$68*$L$68</f>
        <v>41699</v>
      </c>
      <c r="AF68" s="36"/>
      <c r="AG68" s="36"/>
      <c r="AH68" s="36"/>
      <c r="AI68" s="36"/>
      <c r="AJ68" s="36"/>
      <c r="AK68" s="36"/>
      <c r="AL68" s="47"/>
      <c r="AM68" s="36">
        <f t="shared" si="192"/>
        <v>2963231.95</v>
      </c>
      <c r="AN68" s="36">
        <f t="shared" si="208"/>
        <v>376709.025</v>
      </c>
      <c r="AO68" s="36">
        <f t="shared" si="223"/>
        <v>444690.05000000005</v>
      </c>
      <c r="AP68" s="36">
        <f t="shared" si="238"/>
        <v>467922.35000000003</v>
      </c>
      <c r="AQ68" s="36">
        <f aca="true" t="shared" si="251" ref="AQ68:AQ76">$E$67*$L$67</f>
        <v>492048.2</v>
      </c>
      <c r="AR68" s="36">
        <f>$E$68*$L$68</f>
        <v>517663.30000000005</v>
      </c>
      <c r="AS68" s="36"/>
      <c r="AT68" s="36"/>
      <c r="AU68" s="36"/>
      <c r="AV68" s="36"/>
      <c r="AW68" s="36"/>
      <c r="AX68" s="36"/>
      <c r="AY68" s="47"/>
      <c r="AZ68" s="36">
        <f t="shared" si="193"/>
        <v>987832.4750000001</v>
      </c>
      <c r="BA68" s="36">
        <f t="shared" si="209"/>
        <v>125569.67500000002</v>
      </c>
      <c r="BB68" s="36">
        <f t="shared" si="224"/>
        <v>148329.30000000002</v>
      </c>
      <c r="BC68" s="36">
        <f t="shared" si="239"/>
        <v>156073.40000000002</v>
      </c>
      <c r="BD68" s="36">
        <f aca="true" t="shared" si="252" ref="BD68:BD76">$F$67*$L$67</f>
        <v>164115.35</v>
      </c>
      <c r="BE68" s="36">
        <f>$F$68*$L$68</f>
        <v>172455.15000000002</v>
      </c>
      <c r="BF68" s="36"/>
      <c r="BG68" s="36"/>
      <c r="BH68" s="36"/>
      <c r="BI68" s="36"/>
      <c r="BJ68" s="36"/>
      <c r="BK68" s="36"/>
      <c r="BL68" s="47"/>
      <c r="BM68" s="36">
        <f t="shared" si="194"/>
        <v>227246.6</v>
      </c>
      <c r="BN68" s="36">
        <f t="shared" si="210"/>
        <v>41414.100000000006</v>
      </c>
      <c r="BO68" s="36">
        <f t="shared" si="225"/>
        <v>51230.200000000004</v>
      </c>
      <c r="BP68" s="36">
        <f t="shared" si="240"/>
        <v>56293.65</v>
      </c>
      <c r="BQ68" s="36">
        <f aca="true" t="shared" si="253" ref="BQ68:BQ76">$G$67*$L$67</f>
        <v>62250.65</v>
      </c>
      <c r="BR68" s="36">
        <f>$G$68*$L$68</f>
        <v>68505.5</v>
      </c>
      <c r="BS68" s="36"/>
      <c r="BT68" s="36"/>
      <c r="BU68" s="36"/>
      <c r="BV68" s="36"/>
      <c r="BW68" s="36"/>
      <c r="BX68" s="36"/>
      <c r="BY68" s="47"/>
      <c r="BZ68" s="36">
        <f t="shared" si="195"/>
        <v>75660.375</v>
      </c>
      <c r="CA68" s="36">
        <f t="shared" si="211"/>
        <v>13804.7</v>
      </c>
      <c r="CB68" s="36">
        <f t="shared" si="226"/>
        <v>16977.45</v>
      </c>
      <c r="CC68" s="36">
        <f t="shared" si="241"/>
        <v>18764.550000000003</v>
      </c>
      <c r="CD68" s="36">
        <f aca="true" t="shared" si="254" ref="CD68:CD76">$H$67*$L$67</f>
        <v>20849.5</v>
      </c>
      <c r="CE68" s="36">
        <f>$H$68*$L$68</f>
        <v>22934.45</v>
      </c>
      <c r="CF68" s="36"/>
      <c r="CG68" s="36"/>
      <c r="CH68" s="36"/>
      <c r="CI68" s="36"/>
      <c r="CJ68" s="36"/>
      <c r="CK68" s="36"/>
      <c r="CL68" s="47"/>
      <c r="CM68" s="36">
        <f t="shared" si="196"/>
        <v>218220.45</v>
      </c>
      <c r="CN68" s="36">
        <f t="shared" si="212"/>
        <v>27874.875000000004</v>
      </c>
      <c r="CO68" s="36">
        <f t="shared" si="227"/>
        <v>32763.500000000004</v>
      </c>
      <c r="CP68" s="36">
        <f t="shared" si="228"/>
        <v>34550.600000000006</v>
      </c>
      <c r="CQ68" s="36">
        <f aca="true" t="shared" si="255" ref="CQ68:CQ76">$I$67*$L$67</f>
        <v>36337.700000000004</v>
      </c>
      <c r="CR68" s="36">
        <f>$I$68*$L$68</f>
        <v>38124.8</v>
      </c>
      <c r="CS68" s="36"/>
      <c r="CT68" s="36"/>
      <c r="CU68" s="36"/>
      <c r="CV68" s="36"/>
      <c r="CW68" s="36"/>
      <c r="CX68" s="36"/>
      <c r="CY68" s="36"/>
      <c r="CZ68" s="36">
        <f t="shared" si="180"/>
        <v>9568528.374999996</v>
      </c>
      <c r="DA68" s="38">
        <f>CZ68*(1+$E$10)^-11</f>
        <v>5594520.367898402</v>
      </c>
      <c r="DB68" s="78">
        <f t="shared" si="213"/>
        <v>0</v>
      </c>
      <c r="DC68" s="36">
        <f t="shared" si="197"/>
        <v>618375</v>
      </c>
      <c r="DD68" s="36">
        <f t="shared" si="214"/>
        <v>90501</v>
      </c>
      <c r="DE68" s="36">
        <f t="shared" si="229"/>
        <v>0</v>
      </c>
      <c r="DF68" s="36">
        <f t="shared" si="242"/>
        <v>0</v>
      </c>
      <c r="DG68" s="36">
        <f aca="true" t="shared" si="256" ref="DG68:DG76">$C$67*$DB$67</f>
        <v>0</v>
      </c>
      <c r="DH68" s="36">
        <f>$C$68*$DB$68</f>
        <v>0</v>
      </c>
      <c r="DI68" s="36"/>
      <c r="DJ68" s="36"/>
      <c r="DK68" s="36"/>
      <c r="DL68" s="36"/>
      <c r="DM68" s="36"/>
      <c r="DN68" s="36"/>
      <c r="DO68" s="47"/>
      <c r="DP68" s="36">
        <f t="shared" si="181"/>
        <v>94160</v>
      </c>
      <c r="DQ68" s="36">
        <f t="shared" si="198"/>
        <v>13268</v>
      </c>
      <c r="DR68" s="36">
        <f t="shared" si="215"/>
        <v>0</v>
      </c>
      <c r="DS68" s="36">
        <f t="shared" si="230"/>
        <v>0</v>
      </c>
      <c r="DT68" s="36">
        <f t="shared" si="243"/>
        <v>0</v>
      </c>
      <c r="DU68" s="36">
        <f aca="true" t="shared" si="257" ref="DU68:DU77">$D$30*$DB$30</f>
        <v>0</v>
      </c>
      <c r="DV68" s="36"/>
      <c r="DW68" s="36"/>
      <c r="DX68" s="36"/>
      <c r="DY68" s="36"/>
      <c r="DZ68" s="36"/>
      <c r="EA68" s="36"/>
      <c r="EB68" s="47"/>
      <c r="EC68" s="36">
        <f t="shared" si="182"/>
        <v>1194334</v>
      </c>
      <c r="ED68" s="36">
        <f t="shared" si="199"/>
        <v>151833</v>
      </c>
      <c r="EE68" s="36">
        <f t="shared" si="216"/>
        <v>0</v>
      </c>
      <c r="EF68" s="36">
        <f t="shared" si="231"/>
        <v>0</v>
      </c>
      <c r="EG68" s="36">
        <f t="shared" si="244"/>
        <v>0</v>
      </c>
      <c r="EH68" s="36">
        <f aca="true" t="shared" si="258" ref="EH68:EH77">$E$30*$DB$30</f>
        <v>0</v>
      </c>
      <c r="EI68" s="36"/>
      <c r="EJ68" s="36"/>
      <c r="EK68" s="36"/>
      <c r="EL68" s="36"/>
      <c r="EM68" s="36"/>
      <c r="EN68" s="36"/>
      <c r="EO68" s="47"/>
      <c r="EP68" s="36">
        <f t="shared" si="183"/>
        <v>398147</v>
      </c>
      <c r="EQ68" s="36">
        <f t="shared" si="200"/>
        <v>50611</v>
      </c>
      <c r="ER68" s="36">
        <f t="shared" si="217"/>
        <v>0</v>
      </c>
      <c r="ES68" s="36">
        <f t="shared" si="232"/>
        <v>0</v>
      </c>
      <c r="ET68" s="36">
        <f t="shared" si="245"/>
        <v>0</v>
      </c>
      <c r="EU68" s="36">
        <f aca="true" t="shared" si="259" ref="EU68:EU77">$F$30*$DB$30</f>
        <v>0</v>
      </c>
      <c r="EV68" s="36"/>
      <c r="EW68" s="36"/>
      <c r="EX68" s="36"/>
      <c r="EY68" s="36"/>
      <c r="EZ68" s="36"/>
      <c r="FA68" s="36"/>
      <c r="FB68" s="47"/>
      <c r="FC68" s="36">
        <f t="shared" si="184"/>
        <v>83032</v>
      </c>
      <c r="FD68" s="36">
        <f t="shared" si="201"/>
        <v>15132</v>
      </c>
      <c r="FE68" s="36">
        <f t="shared" si="218"/>
        <v>0</v>
      </c>
      <c r="FF68" s="36">
        <f t="shared" si="233"/>
        <v>0</v>
      </c>
      <c r="FG68" s="36">
        <f t="shared" si="246"/>
        <v>0</v>
      </c>
      <c r="FH68" s="36">
        <f aca="true" t="shared" si="260" ref="FH68:FH77">$G$30*$K$59</f>
        <v>0</v>
      </c>
      <c r="FI68" s="36"/>
      <c r="FJ68" s="36"/>
      <c r="FK68" s="36"/>
      <c r="FL68" s="36"/>
      <c r="FM68" s="36"/>
      <c r="FN68" s="36"/>
      <c r="FO68" s="47"/>
      <c r="FP68" s="36">
        <f t="shared" si="185"/>
        <v>27645</v>
      </c>
      <c r="FQ68" s="36">
        <f t="shared" si="202"/>
        <v>5044</v>
      </c>
      <c r="FR68" s="36">
        <f t="shared" si="219"/>
        <v>0</v>
      </c>
      <c r="FS68" s="36">
        <f t="shared" si="234"/>
        <v>0</v>
      </c>
      <c r="FT68" s="36">
        <f t="shared" si="247"/>
        <v>0</v>
      </c>
      <c r="FU68" s="36">
        <f aca="true" t="shared" si="261" ref="FU68:FU77">$H$30*$K$59</f>
        <v>0</v>
      </c>
      <c r="FV68" s="36"/>
      <c r="FW68" s="36"/>
      <c r="FX68" s="36"/>
      <c r="FY68" s="36"/>
      <c r="FZ68" s="36"/>
      <c r="GA68" s="36"/>
      <c r="GB68" s="47"/>
      <c r="GC68" s="36">
        <f t="shared" si="186"/>
        <v>87954</v>
      </c>
      <c r="GD68" s="36">
        <f t="shared" si="203"/>
        <v>11235</v>
      </c>
      <c r="GE68" s="36">
        <f t="shared" si="220"/>
        <v>0</v>
      </c>
      <c r="GF68" s="36">
        <f t="shared" si="235"/>
        <v>0</v>
      </c>
      <c r="GG68" s="36">
        <f t="shared" si="248"/>
        <v>0</v>
      </c>
      <c r="GH68" s="36">
        <f aca="true" t="shared" si="262" ref="GH68:GH77">$I$30*$DB$30</f>
        <v>0</v>
      </c>
      <c r="GI68" s="36"/>
      <c r="GJ68" s="36"/>
      <c r="GK68" s="36"/>
      <c r="GL68" s="36"/>
      <c r="GM68" s="36"/>
      <c r="GN68" s="36"/>
      <c r="GO68" s="47"/>
      <c r="GP68" s="36">
        <f>SUM(DC68:GO68)</f>
        <v>2841271</v>
      </c>
      <c r="GQ68" s="38">
        <f>GP68*(1+$E$11)^-11</f>
        <v>1661232.3083819111</v>
      </c>
      <c r="GR68" s="38">
        <f t="shared" si="204"/>
        <v>12409799.374999996</v>
      </c>
      <c r="GS68" s="52">
        <f t="shared" si="187"/>
        <v>7255752.676280313</v>
      </c>
      <c r="GT68" s="9"/>
    </row>
    <row r="69" spans="1:202" ht="15.75">
      <c r="A69" s="9">
        <v>2007</v>
      </c>
      <c r="B69" s="49">
        <v>2014</v>
      </c>
      <c r="C69" s="31">
        <f t="shared" si="179"/>
        <v>389</v>
      </c>
      <c r="D69" s="31">
        <f t="shared" si="179"/>
        <v>144</v>
      </c>
      <c r="E69" s="31">
        <f t="shared" si="179"/>
        <v>1829</v>
      </c>
      <c r="F69" s="31">
        <f t="shared" si="179"/>
        <v>610</v>
      </c>
      <c r="G69" s="31">
        <f t="shared" si="179"/>
        <v>254</v>
      </c>
      <c r="H69" s="31">
        <f t="shared" si="179"/>
        <v>85</v>
      </c>
      <c r="I69" s="31">
        <f t="shared" si="179"/>
        <v>135</v>
      </c>
      <c r="J69" s="63">
        <f t="shared" si="188"/>
        <v>2913</v>
      </c>
      <c r="K69" s="53">
        <f t="shared" si="189"/>
        <v>3446</v>
      </c>
      <c r="L69" s="36">
        <f t="shared" si="205"/>
        <v>297.85</v>
      </c>
      <c r="M69" s="36">
        <f t="shared" si="190"/>
        <v>564134.375</v>
      </c>
      <c r="N69" s="36">
        <f t="shared" si="206"/>
        <v>82562.725</v>
      </c>
      <c r="O69" s="36">
        <f t="shared" si="221"/>
        <v>97099.1</v>
      </c>
      <c r="P69" s="36">
        <f t="shared" si="236"/>
        <v>101269.00000000001</v>
      </c>
      <c r="Q69" s="36">
        <f t="shared" si="249"/>
        <v>106034.6</v>
      </c>
      <c r="R69" s="36">
        <f aca="true" t="shared" si="263" ref="R69:R77">$C$68*$L$68</f>
        <v>110800.20000000001</v>
      </c>
      <c r="S69" s="36">
        <f>$C$69*$L$69</f>
        <v>115863.65000000001</v>
      </c>
      <c r="T69" s="36"/>
      <c r="U69" s="36"/>
      <c r="V69" s="36"/>
      <c r="W69" s="36"/>
      <c r="X69" s="36"/>
      <c r="Y69" s="47"/>
      <c r="Z69" s="36">
        <f t="shared" si="191"/>
        <v>233618.00000000003</v>
      </c>
      <c r="AA69" s="36">
        <f t="shared" si="207"/>
        <v>32918.9</v>
      </c>
      <c r="AB69" s="36">
        <f t="shared" si="222"/>
        <v>38124.8</v>
      </c>
      <c r="AC69" s="36">
        <f t="shared" si="237"/>
        <v>39316.200000000004</v>
      </c>
      <c r="AD69" s="36">
        <f t="shared" si="250"/>
        <v>40507.600000000006</v>
      </c>
      <c r="AE69" s="36">
        <f aca="true" t="shared" si="264" ref="AE69:AE77">$D$68*$L$68</f>
        <v>41699</v>
      </c>
      <c r="AF69" s="36">
        <f>$D$69*$L$69</f>
        <v>42890.4</v>
      </c>
      <c r="AG69" s="36"/>
      <c r="AH69" s="36"/>
      <c r="AI69" s="36"/>
      <c r="AJ69" s="36"/>
      <c r="AK69" s="36"/>
      <c r="AL69" s="47"/>
      <c r="AM69" s="36">
        <f t="shared" si="192"/>
        <v>2963231.95</v>
      </c>
      <c r="AN69" s="36">
        <f t="shared" si="208"/>
        <v>376709.025</v>
      </c>
      <c r="AO69" s="36">
        <f t="shared" si="223"/>
        <v>444690.05000000005</v>
      </c>
      <c r="AP69" s="36">
        <f t="shared" si="238"/>
        <v>467922.35000000003</v>
      </c>
      <c r="AQ69" s="36">
        <f t="shared" si="251"/>
        <v>492048.2</v>
      </c>
      <c r="AR69" s="36">
        <f aca="true" t="shared" si="265" ref="AR69:AR77">$E$68*$L$68</f>
        <v>517663.30000000005</v>
      </c>
      <c r="AS69" s="36">
        <f>$E$69*$L$69</f>
        <v>544767.65</v>
      </c>
      <c r="AT69" s="36"/>
      <c r="AU69" s="36"/>
      <c r="AV69" s="36"/>
      <c r="AW69" s="36"/>
      <c r="AX69" s="36"/>
      <c r="AY69" s="47"/>
      <c r="AZ69" s="36">
        <f t="shared" si="193"/>
        <v>987832.4750000001</v>
      </c>
      <c r="BA69" s="36">
        <f t="shared" si="209"/>
        <v>125569.67500000002</v>
      </c>
      <c r="BB69" s="36">
        <f t="shared" si="224"/>
        <v>148329.30000000002</v>
      </c>
      <c r="BC69" s="36">
        <f t="shared" si="239"/>
        <v>156073.40000000002</v>
      </c>
      <c r="BD69" s="36">
        <f t="shared" si="252"/>
        <v>164115.35</v>
      </c>
      <c r="BE69" s="36">
        <f aca="true" t="shared" si="266" ref="BE69:BE77">$F$68*$L$68</f>
        <v>172455.15000000002</v>
      </c>
      <c r="BF69" s="36">
        <f>$F$69*$L$69</f>
        <v>181688.5</v>
      </c>
      <c r="BG69" s="36"/>
      <c r="BH69" s="36"/>
      <c r="BI69" s="36"/>
      <c r="BJ69" s="36"/>
      <c r="BK69" s="36"/>
      <c r="BL69" s="47"/>
      <c r="BM69" s="36">
        <f t="shared" si="194"/>
        <v>227246.6</v>
      </c>
      <c r="BN69" s="36">
        <f t="shared" si="210"/>
        <v>41414.100000000006</v>
      </c>
      <c r="BO69" s="36">
        <f t="shared" si="225"/>
        <v>51230.200000000004</v>
      </c>
      <c r="BP69" s="36">
        <f t="shared" si="240"/>
        <v>56293.65</v>
      </c>
      <c r="BQ69" s="36">
        <f t="shared" si="253"/>
        <v>62250.65</v>
      </c>
      <c r="BR69" s="36">
        <f aca="true" t="shared" si="267" ref="BR69:BR77">$G$68*$L$68</f>
        <v>68505.5</v>
      </c>
      <c r="BS69" s="36">
        <f>$G$69*$L$69</f>
        <v>75653.90000000001</v>
      </c>
      <c r="BT69" s="36"/>
      <c r="BU69" s="36"/>
      <c r="BV69" s="36"/>
      <c r="BW69" s="36"/>
      <c r="BX69" s="36"/>
      <c r="BY69" s="47"/>
      <c r="BZ69" s="36">
        <f t="shared" si="195"/>
        <v>75660.375</v>
      </c>
      <c r="CA69" s="36">
        <f t="shared" si="211"/>
        <v>13804.7</v>
      </c>
      <c r="CB69" s="36">
        <f t="shared" si="226"/>
        <v>16977.45</v>
      </c>
      <c r="CC69" s="36">
        <f t="shared" si="241"/>
        <v>18764.550000000003</v>
      </c>
      <c r="CD69" s="36">
        <f t="shared" si="254"/>
        <v>20849.5</v>
      </c>
      <c r="CE69" s="36">
        <f aca="true" t="shared" si="268" ref="CE69:CE77">$H$68*$L$68</f>
        <v>22934.45</v>
      </c>
      <c r="CF69" s="36">
        <f>$H$69*$L$69</f>
        <v>25317.250000000004</v>
      </c>
      <c r="CG69" s="36"/>
      <c r="CH69" s="36"/>
      <c r="CI69" s="36"/>
      <c r="CJ69" s="36"/>
      <c r="CK69" s="36"/>
      <c r="CL69" s="47"/>
      <c r="CM69" s="36">
        <f t="shared" si="196"/>
        <v>218220.45</v>
      </c>
      <c r="CN69" s="36">
        <f t="shared" si="212"/>
        <v>27874.875000000004</v>
      </c>
      <c r="CO69" s="36">
        <f t="shared" si="227"/>
        <v>32763.500000000004</v>
      </c>
      <c r="CP69" s="36">
        <f t="shared" si="228"/>
        <v>34550.600000000006</v>
      </c>
      <c r="CQ69" s="36">
        <f t="shared" si="255"/>
        <v>36337.700000000004</v>
      </c>
      <c r="CR69" s="36">
        <f aca="true" t="shared" si="269" ref="CR69:CR77">$I$68*$L$68</f>
        <v>38124.8</v>
      </c>
      <c r="CS69" s="36">
        <f>$I$69*$L$69</f>
        <v>40209.75</v>
      </c>
      <c r="CT69" s="36"/>
      <c r="CU69" s="36"/>
      <c r="CV69" s="36"/>
      <c r="CW69" s="36"/>
      <c r="CX69" s="36"/>
      <c r="CY69" s="36"/>
      <c r="CZ69" s="36">
        <f t="shared" si="180"/>
        <v>10594919.475</v>
      </c>
      <c r="DA69" s="38">
        <f>CZ69*(1+$E$10)^-12</f>
        <v>5899647.606258144</v>
      </c>
      <c r="DB69" s="78">
        <f t="shared" si="213"/>
        <v>0</v>
      </c>
      <c r="DC69" s="36">
        <f t="shared" si="197"/>
        <v>618375</v>
      </c>
      <c r="DD69" s="36">
        <f t="shared" si="214"/>
        <v>90501</v>
      </c>
      <c r="DE69" s="36">
        <f t="shared" si="229"/>
        <v>0</v>
      </c>
      <c r="DF69" s="36">
        <f t="shared" si="242"/>
        <v>0</v>
      </c>
      <c r="DG69" s="36">
        <f t="shared" si="256"/>
        <v>0</v>
      </c>
      <c r="DH69" s="36">
        <f aca="true" t="shared" si="270" ref="DH69:DH77">$C$68*$DB$68</f>
        <v>0</v>
      </c>
      <c r="DI69" s="36">
        <f>$C$69*$DB$69</f>
        <v>0</v>
      </c>
      <c r="DJ69" s="36"/>
      <c r="DK69" s="36"/>
      <c r="DL69" s="36"/>
      <c r="DM69" s="36"/>
      <c r="DN69" s="36"/>
      <c r="DO69" s="47"/>
      <c r="DP69" s="36">
        <f t="shared" si="181"/>
        <v>94160</v>
      </c>
      <c r="DQ69" s="36">
        <f t="shared" si="198"/>
        <v>13268</v>
      </c>
      <c r="DR69" s="36">
        <f t="shared" si="215"/>
        <v>0</v>
      </c>
      <c r="DS69" s="36">
        <f t="shared" si="230"/>
        <v>0</v>
      </c>
      <c r="DT69" s="36">
        <f t="shared" si="243"/>
        <v>0</v>
      </c>
      <c r="DU69" s="36">
        <f t="shared" si="257"/>
        <v>0</v>
      </c>
      <c r="DV69" s="36">
        <f aca="true" t="shared" si="271" ref="DV69:DV78">$D$31*$DB$31</f>
        <v>0</v>
      </c>
      <c r="DW69" s="36"/>
      <c r="DX69" s="36"/>
      <c r="DY69" s="36"/>
      <c r="DZ69" s="36"/>
      <c r="EA69" s="36"/>
      <c r="EB69" s="47"/>
      <c r="EC69" s="36">
        <f t="shared" si="182"/>
        <v>1194334</v>
      </c>
      <c r="ED69" s="36">
        <f t="shared" si="199"/>
        <v>151833</v>
      </c>
      <c r="EE69" s="36">
        <f t="shared" si="216"/>
        <v>0</v>
      </c>
      <c r="EF69" s="36">
        <f t="shared" si="231"/>
        <v>0</v>
      </c>
      <c r="EG69" s="36">
        <f t="shared" si="244"/>
        <v>0</v>
      </c>
      <c r="EH69" s="36">
        <f t="shared" si="258"/>
        <v>0</v>
      </c>
      <c r="EI69" s="36">
        <f aca="true" t="shared" si="272" ref="EI69:EI78">$E$31*$DB$31</f>
        <v>0</v>
      </c>
      <c r="EJ69" s="36"/>
      <c r="EK69" s="36"/>
      <c r="EL69" s="36"/>
      <c r="EM69" s="36"/>
      <c r="EN69" s="36"/>
      <c r="EO69" s="47"/>
      <c r="EP69" s="36">
        <f t="shared" si="183"/>
        <v>398147</v>
      </c>
      <c r="EQ69" s="36">
        <f t="shared" si="200"/>
        <v>50611</v>
      </c>
      <c r="ER69" s="36">
        <f t="shared" si="217"/>
        <v>0</v>
      </c>
      <c r="ES69" s="36">
        <f t="shared" si="232"/>
        <v>0</v>
      </c>
      <c r="ET69" s="36">
        <f t="shared" si="245"/>
        <v>0</v>
      </c>
      <c r="EU69" s="36">
        <f t="shared" si="259"/>
        <v>0</v>
      </c>
      <c r="EV69" s="36">
        <f aca="true" t="shared" si="273" ref="EV69:EV78">$F$31*$DB$31</f>
        <v>0</v>
      </c>
      <c r="EW69" s="36"/>
      <c r="EX69" s="36"/>
      <c r="EY69" s="36"/>
      <c r="EZ69" s="36"/>
      <c r="FA69" s="36"/>
      <c r="FB69" s="47"/>
      <c r="FC69" s="36">
        <f t="shared" si="184"/>
        <v>83032</v>
      </c>
      <c r="FD69" s="36">
        <f t="shared" si="201"/>
        <v>15132</v>
      </c>
      <c r="FE69" s="36">
        <f t="shared" si="218"/>
        <v>0</v>
      </c>
      <c r="FF69" s="36">
        <f t="shared" si="233"/>
        <v>0</v>
      </c>
      <c r="FG69" s="36">
        <f t="shared" si="246"/>
        <v>0</v>
      </c>
      <c r="FH69" s="36">
        <f t="shared" si="260"/>
        <v>0</v>
      </c>
      <c r="FI69" s="36">
        <f aca="true" t="shared" si="274" ref="FI69:FI78">$G$31*$K$59</f>
        <v>0</v>
      </c>
      <c r="FJ69" s="36"/>
      <c r="FK69" s="36"/>
      <c r="FL69" s="36"/>
      <c r="FM69" s="36"/>
      <c r="FN69" s="36"/>
      <c r="FO69" s="47"/>
      <c r="FP69" s="36">
        <f t="shared" si="185"/>
        <v>27645</v>
      </c>
      <c r="FQ69" s="36">
        <f t="shared" si="202"/>
        <v>5044</v>
      </c>
      <c r="FR69" s="36">
        <f t="shared" si="219"/>
        <v>0</v>
      </c>
      <c r="FS69" s="36">
        <f t="shared" si="234"/>
        <v>0</v>
      </c>
      <c r="FT69" s="36">
        <f t="shared" si="247"/>
        <v>0</v>
      </c>
      <c r="FU69" s="36">
        <f t="shared" si="261"/>
        <v>0</v>
      </c>
      <c r="FV69" s="36">
        <f aca="true" t="shared" si="275" ref="FV69:FV78">$H$31*$K$59</f>
        <v>0</v>
      </c>
      <c r="FW69" s="36"/>
      <c r="FX69" s="36"/>
      <c r="FY69" s="36"/>
      <c r="FZ69" s="36"/>
      <c r="GA69" s="36"/>
      <c r="GB69" s="47"/>
      <c r="GC69" s="36">
        <f t="shared" si="186"/>
        <v>87954</v>
      </c>
      <c r="GD69" s="36">
        <f t="shared" si="203"/>
        <v>11235</v>
      </c>
      <c r="GE69" s="36">
        <f t="shared" si="220"/>
        <v>0</v>
      </c>
      <c r="GF69" s="36">
        <f t="shared" si="235"/>
        <v>0</v>
      </c>
      <c r="GG69" s="36">
        <f t="shared" si="248"/>
        <v>0</v>
      </c>
      <c r="GH69" s="36">
        <f t="shared" si="262"/>
        <v>0</v>
      </c>
      <c r="GI69" s="36">
        <f aca="true" t="shared" si="276" ref="GI69:GI78">$I$31*$DB$31</f>
        <v>0</v>
      </c>
      <c r="GJ69" s="36"/>
      <c r="GK69" s="36"/>
      <c r="GL69" s="36"/>
      <c r="GM69" s="36"/>
      <c r="GN69" s="36"/>
      <c r="GO69" s="47"/>
      <c r="GP69" s="36">
        <f>SUM(DC69:GO69)</f>
        <v>2841271</v>
      </c>
      <c r="GQ69" s="38">
        <f>GP69*(1+$E$11)^-12</f>
        <v>1582126.0079827725</v>
      </c>
      <c r="GR69" s="38">
        <f t="shared" si="204"/>
        <v>13436190.475</v>
      </c>
      <c r="GS69" s="52">
        <f t="shared" si="187"/>
        <v>7481773.614240916</v>
      </c>
      <c r="GT69" s="9"/>
    </row>
    <row r="70" spans="1:202" ht="15.75">
      <c r="A70" s="9">
        <v>2008</v>
      </c>
      <c r="B70" s="49">
        <v>2015</v>
      </c>
      <c r="C70" s="31">
        <f t="shared" si="179"/>
        <v>407</v>
      </c>
      <c r="D70" s="31">
        <f t="shared" si="179"/>
        <v>148</v>
      </c>
      <c r="E70" s="31">
        <f t="shared" si="179"/>
        <v>1924</v>
      </c>
      <c r="F70" s="31">
        <f t="shared" si="179"/>
        <v>641</v>
      </c>
      <c r="G70" s="31">
        <f t="shared" si="179"/>
        <v>279</v>
      </c>
      <c r="H70" s="31">
        <f t="shared" si="179"/>
        <v>93</v>
      </c>
      <c r="I70" s="31">
        <f t="shared" si="179"/>
        <v>142</v>
      </c>
      <c r="J70" s="63">
        <f t="shared" si="188"/>
        <v>3079</v>
      </c>
      <c r="K70" s="53">
        <f t="shared" si="189"/>
        <v>3634</v>
      </c>
      <c r="L70" s="36">
        <f t="shared" si="205"/>
        <v>297.85</v>
      </c>
      <c r="M70" s="36">
        <f t="shared" si="190"/>
        <v>564134.375</v>
      </c>
      <c r="N70" s="36">
        <f t="shared" si="206"/>
        <v>82562.725</v>
      </c>
      <c r="O70" s="36">
        <f t="shared" si="221"/>
        <v>97099.1</v>
      </c>
      <c r="P70" s="36">
        <f t="shared" si="236"/>
        <v>101269.00000000001</v>
      </c>
      <c r="Q70" s="36">
        <f t="shared" si="249"/>
        <v>106034.6</v>
      </c>
      <c r="R70" s="36">
        <f t="shared" si="263"/>
        <v>110800.20000000001</v>
      </c>
      <c r="S70" s="36">
        <f aca="true" t="shared" si="277" ref="S70:S78">$C$69*$L$69</f>
        <v>115863.65000000001</v>
      </c>
      <c r="T70" s="36">
        <f>$C$70*$L$70</f>
        <v>121224.95000000001</v>
      </c>
      <c r="U70" s="36"/>
      <c r="V70" s="36"/>
      <c r="W70" s="36"/>
      <c r="X70" s="36"/>
      <c r="Y70" s="47"/>
      <c r="Z70" s="36">
        <f t="shared" si="191"/>
        <v>233618.00000000003</v>
      </c>
      <c r="AA70" s="36">
        <f t="shared" si="207"/>
        <v>32918.9</v>
      </c>
      <c r="AB70" s="36">
        <f t="shared" si="222"/>
        <v>38124.8</v>
      </c>
      <c r="AC70" s="36">
        <f t="shared" si="237"/>
        <v>39316.200000000004</v>
      </c>
      <c r="AD70" s="36">
        <f t="shared" si="250"/>
        <v>40507.600000000006</v>
      </c>
      <c r="AE70" s="36">
        <f t="shared" si="264"/>
        <v>41699</v>
      </c>
      <c r="AF70" s="36">
        <f aca="true" t="shared" si="278" ref="AF70:AF78">$D$69*$L$69</f>
        <v>42890.4</v>
      </c>
      <c r="AG70" s="36">
        <f>$D$70*$L$70</f>
        <v>44081.8</v>
      </c>
      <c r="AH70" s="36"/>
      <c r="AI70" s="36"/>
      <c r="AJ70" s="36"/>
      <c r="AK70" s="36"/>
      <c r="AL70" s="47"/>
      <c r="AM70" s="36">
        <f t="shared" si="192"/>
        <v>2963231.95</v>
      </c>
      <c r="AN70" s="36">
        <f t="shared" si="208"/>
        <v>376709.025</v>
      </c>
      <c r="AO70" s="36">
        <f t="shared" si="223"/>
        <v>444690.05000000005</v>
      </c>
      <c r="AP70" s="36">
        <f t="shared" si="238"/>
        <v>467922.35000000003</v>
      </c>
      <c r="AQ70" s="36">
        <f t="shared" si="251"/>
        <v>492048.2</v>
      </c>
      <c r="AR70" s="36">
        <f t="shared" si="265"/>
        <v>517663.30000000005</v>
      </c>
      <c r="AS70" s="36">
        <f aca="true" t="shared" si="279" ref="AS70:AS78">$E$69*$L$69</f>
        <v>544767.65</v>
      </c>
      <c r="AT70" s="36">
        <f>$E$70*$L$70</f>
        <v>573063.4</v>
      </c>
      <c r="AU70" s="36"/>
      <c r="AV70" s="36"/>
      <c r="AW70" s="36"/>
      <c r="AX70" s="36"/>
      <c r="AY70" s="47"/>
      <c r="AZ70" s="36">
        <f t="shared" si="193"/>
        <v>987832.4750000001</v>
      </c>
      <c r="BA70" s="36">
        <f t="shared" si="209"/>
        <v>125569.67500000002</v>
      </c>
      <c r="BB70" s="36">
        <f t="shared" si="224"/>
        <v>148329.30000000002</v>
      </c>
      <c r="BC70" s="36">
        <f t="shared" si="239"/>
        <v>156073.40000000002</v>
      </c>
      <c r="BD70" s="36">
        <f t="shared" si="252"/>
        <v>164115.35</v>
      </c>
      <c r="BE70" s="36">
        <f t="shared" si="266"/>
        <v>172455.15000000002</v>
      </c>
      <c r="BF70" s="36">
        <f aca="true" t="shared" si="280" ref="BF70:BF78">$F$69*$L$69</f>
        <v>181688.5</v>
      </c>
      <c r="BG70" s="36">
        <f>$F$70*$L$70</f>
        <v>190921.85</v>
      </c>
      <c r="BH70" s="36"/>
      <c r="BI70" s="36"/>
      <c r="BJ70" s="36"/>
      <c r="BK70" s="36"/>
      <c r="BL70" s="47"/>
      <c r="BM70" s="36">
        <f t="shared" si="194"/>
        <v>227246.6</v>
      </c>
      <c r="BN70" s="36">
        <f t="shared" si="210"/>
        <v>41414.100000000006</v>
      </c>
      <c r="BO70" s="36">
        <f t="shared" si="225"/>
        <v>51230.200000000004</v>
      </c>
      <c r="BP70" s="36">
        <f t="shared" si="240"/>
        <v>56293.65</v>
      </c>
      <c r="BQ70" s="36">
        <f t="shared" si="253"/>
        <v>62250.65</v>
      </c>
      <c r="BR70" s="36">
        <f t="shared" si="267"/>
        <v>68505.5</v>
      </c>
      <c r="BS70" s="36">
        <f aca="true" t="shared" si="281" ref="BS70:BS78">$G$69*$L$69</f>
        <v>75653.90000000001</v>
      </c>
      <c r="BT70" s="36">
        <f>$G$70*$L$70</f>
        <v>83100.15000000001</v>
      </c>
      <c r="BU70" s="36"/>
      <c r="BV70" s="36"/>
      <c r="BW70" s="36"/>
      <c r="BX70" s="36"/>
      <c r="BY70" s="47"/>
      <c r="BZ70" s="36">
        <f t="shared" si="195"/>
        <v>75660.375</v>
      </c>
      <c r="CA70" s="36">
        <f t="shared" si="211"/>
        <v>13804.7</v>
      </c>
      <c r="CB70" s="36">
        <f t="shared" si="226"/>
        <v>16977.45</v>
      </c>
      <c r="CC70" s="36">
        <f t="shared" si="241"/>
        <v>18764.550000000003</v>
      </c>
      <c r="CD70" s="36">
        <f t="shared" si="254"/>
        <v>20849.5</v>
      </c>
      <c r="CE70" s="36">
        <f t="shared" si="268"/>
        <v>22934.45</v>
      </c>
      <c r="CF70" s="36">
        <f aca="true" t="shared" si="282" ref="CF70:CF78">$H$69*$L$69</f>
        <v>25317.250000000004</v>
      </c>
      <c r="CG70" s="36">
        <f>$H$70*$L$70</f>
        <v>27700.050000000003</v>
      </c>
      <c r="CH70" s="36"/>
      <c r="CI70" s="36"/>
      <c r="CJ70" s="36"/>
      <c r="CK70" s="36"/>
      <c r="CL70" s="47"/>
      <c r="CM70" s="36">
        <f t="shared" si="196"/>
        <v>218220.45</v>
      </c>
      <c r="CN70" s="36">
        <f t="shared" si="212"/>
        <v>27874.875000000004</v>
      </c>
      <c r="CO70" s="36">
        <f t="shared" si="227"/>
        <v>32763.500000000004</v>
      </c>
      <c r="CP70" s="36">
        <f t="shared" si="228"/>
        <v>34550.600000000006</v>
      </c>
      <c r="CQ70" s="36">
        <f t="shared" si="255"/>
        <v>36337.700000000004</v>
      </c>
      <c r="CR70" s="36">
        <f t="shared" si="269"/>
        <v>38124.8</v>
      </c>
      <c r="CS70" s="36">
        <f aca="true" t="shared" si="283" ref="CS70:CS78">$I$69*$L$69</f>
        <v>40209.75</v>
      </c>
      <c r="CT70" s="36">
        <f>$I$70*$L$70</f>
        <v>42294.700000000004</v>
      </c>
      <c r="CU70" s="36"/>
      <c r="CV70" s="36"/>
      <c r="CW70" s="36"/>
      <c r="CX70" s="36"/>
      <c r="CY70" s="36"/>
      <c r="CZ70" s="36">
        <f t="shared" si="180"/>
        <v>11677306.375</v>
      </c>
      <c r="DA70" s="38">
        <f>CZ70*(1+$E$10)^-13</f>
        <v>6192724.888688909</v>
      </c>
      <c r="DB70" s="78">
        <f t="shared" si="213"/>
        <v>0</v>
      </c>
      <c r="DC70" s="36">
        <f t="shared" si="197"/>
        <v>618375</v>
      </c>
      <c r="DD70" s="36">
        <f t="shared" si="214"/>
        <v>90501</v>
      </c>
      <c r="DE70" s="36">
        <f t="shared" si="229"/>
        <v>0</v>
      </c>
      <c r="DF70" s="36">
        <f t="shared" si="242"/>
        <v>0</v>
      </c>
      <c r="DG70" s="36">
        <f t="shared" si="256"/>
        <v>0</v>
      </c>
      <c r="DH70" s="36">
        <f t="shared" si="270"/>
        <v>0</v>
      </c>
      <c r="DI70" s="36">
        <f aca="true" t="shared" si="284" ref="DI70:DI78">$C$69*$DB$69</f>
        <v>0</v>
      </c>
      <c r="DJ70" s="36">
        <f>$C$70*$DB$70</f>
        <v>0</v>
      </c>
      <c r="DK70" s="36"/>
      <c r="DL70" s="36"/>
      <c r="DM70" s="36"/>
      <c r="DN70" s="36"/>
      <c r="DO70" s="47"/>
      <c r="DP70" s="36">
        <f t="shared" si="181"/>
        <v>94160</v>
      </c>
      <c r="DQ70" s="36">
        <f t="shared" si="198"/>
        <v>13268</v>
      </c>
      <c r="DR70" s="36">
        <f t="shared" si="215"/>
        <v>0</v>
      </c>
      <c r="DS70" s="36">
        <f t="shared" si="230"/>
        <v>0</v>
      </c>
      <c r="DT70" s="36">
        <f t="shared" si="243"/>
        <v>0</v>
      </c>
      <c r="DU70" s="36">
        <f t="shared" si="257"/>
        <v>0</v>
      </c>
      <c r="DV70" s="36">
        <f t="shared" si="271"/>
        <v>0</v>
      </c>
      <c r="DW70" s="36">
        <f aca="true" t="shared" si="285" ref="DW70:DW79">$D$32*$DB$32</f>
        <v>0</v>
      </c>
      <c r="DX70" s="36"/>
      <c r="DY70" s="36"/>
      <c r="DZ70" s="36"/>
      <c r="EA70" s="36"/>
      <c r="EB70" s="47"/>
      <c r="EC70" s="36">
        <f t="shared" si="182"/>
        <v>1194334</v>
      </c>
      <c r="ED70" s="36">
        <f t="shared" si="199"/>
        <v>151833</v>
      </c>
      <c r="EE70" s="36">
        <f t="shared" si="216"/>
        <v>0</v>
      </c>
      <c r="EF70" s="36">
        <f t="shared" si="231"/>
        <v>0</v>
      </c>
      <c r="EG70" s="36">
        <f t="shared" si="244"/>
        <v>0</v>
      </c>
      <c r="EH70" s="36">
        <f t="shared" si="258"/>
        <v>0</v>
      </c>
      <c r="EI70" s="36">
        <f t="shared" si="272"/>
        <v>0</v>
      </c>
      <c r="EJ70" s="36">
        <f aca="true" t="shared" si="286" ref="EJ70:EJ79">$E$32*$DB$32</f>
        <v>0</v>
      </c>
      <c r="EK70" s="36"/>
      <c r="EL70" s="36"/>
      <c r="EM70" s="36"/>
      <c r="EN70" s="36"/>
      <c r="EO70" s="47"/>
      <c r="EP70" s="36">
        <f t="shared" si="183"/>
        <v>398147</v>
      </c>
      <c r="EQ70" s="36">
        <f t="shared" si="200"/>
        <v>50611</v>
      </c>
      <c r="ER70" s="36">
        <f t="shared" si="217"/>
        <v>0</v>
      </c>
      <c r="ES70" s="36">
        <f t="shared" si="232"/>
        <v>0</v>
      </c>
      <c r="ET70" s="36">
        <f t="shared" si="245"/>
        <v>0</v>
      </c>
      <c r="EU70" s="36">
        <f t="shared" si="259"/>
        <v>0</v>
      </c>
      <c r="EV70" s="36">
        <f t="shared" si="273"/>
        <v>0</v>
      </c>
      <c r="EW70" s="36">
        <f aca="true" t="shared" si="287" ref="EW70:EW79">$F$32*$DB$32</f>
        <v>0</v>
      </c>
      <c r="EX70" s="36"/>
      <c r="EY70" s="36"/>
      <c r="EZ70" s="36"/>
      <c r="FA70" s="36"/>
      <c r="FB70" s="47"/>
      <c r="FC70" s="36">
        <f t="shared" si="184"/>
        <v>83032</v>
      </c>
      <c r="FD70" s="36">
        <f t="shared" si="201"/>
        <v>15132</v>
      </c>
      <c r="FE70" s="36">
        <f t="shared" si="218"/>
        <v>0</v>
      </c>
      <c r="FF70" s="36">
        <f t="shared" si="233"/>
        <v>0</v>
      </c>
      <c r="FG70" s="36">
        <f t="shared" si="246"/>
        <v>0</v>
      </c>
      <c r="FH70" s="36">
        <f t="shared" si="260"/>
        <v>0</v>
      </c>
      <c r="FI70" s="36">
        <f t="shared" si="274"/>
        <v>0</v>
      </c>
      <c r="FJ70" s="36">
        <f aca="true" t="shared" si="288" ref="FJ70:FJ79">$G$32*$K$59</f>
        <v>0</v>
      </c>
      <c r="FK70" s="36"/>
      <c r="FL70" s="36"/>
      <c r="FM70" s="36"/>
      <c r="FN70" s="36"/>
      <c r="FO70" s="47"/>
      <c r="FP70" s="36">
        <f t="shared" si="185"/>
        <v>27645</v>
      </c>
      <c r="FQ70" s="36">
        <f t="shared" si="202"/>
        <v>5044</v>
      </c>
      <c r="FR70" s="36">
        <f t="shared" si="219"/>
        <v>0</v>
      </c>
      <c r="FS70" s="36">
        <f t="shared" si="234"/>
        <v>0</v>
      </c>
      <c r="FT70" s="36">
        <f t="shared" si="247"/>
        <v>0</v>
      </c>
      <c r="FU70" s="36">
        <f t="shared" si="261"/>
        <v>0</v>
      </c>
      <c r="FV70" s="36">
        <f t="shared" si="275"/>
        <v>0</v>
      </c>
      <c r="FW70" s="36">
        <f aca="true" t="shared" si="289" ref="FW70:FW79">$H$32*$K$59</f>
        <v>0</v>
      </c>
      <c r="FX70" s="36"/>
      <c r="FY70" s="36"/>
      <c r="FZ70" s="36"/>
      <c r="GA70" s="36"/>
      <c r="GB70" s="47"/>
      <c r="GC70" s="36">
        <f t="shared" si="186"/>
        <v>87954</v>
      </c>
      <c r="GD70" s="36">
        <f t="shared" si="203"/>
        <v>11235</v>
      </c>
      <c r="GE70" s="36">
        <f t="shared" si="220"/>
        <v>0</v>
      </c>
      <c r="GF70" s="36">
        <f t="shared" si="235"/>
        <v>0</v>
      </c>
      <c r="GG70" s="36">
        <f t="shared" si="248"/>
        <v>0</v>
      </c>
      <c r="GH70" s="36">
        <f t="shared" si="262"/>
        <v>0</v>
      </c>
      <c r="GI70" s="36">
        <f t="shared" si="276"/>
        <v>0</v>
      </c>
      <c r="GJ70" s="36">
        <f aca="true" t="shared" si="290" ref="GJ70:GJ79">$I$32*$DB$32</f>
        <v>0</v>
      </c>
      <c r="GK70" s="36"/>
      <c r="GL70" s="36"/>
      <c r="GM70" s="36"/>
      <c r="GN70" s="36"/>
      <c r="GO70" s="47"/>
      <c r="GP70" s="36">
        <f>SUM(DC70:GO70)</f>
        <v>2841271</v>
      </c>
      <c r="GQ70" s="38">
        <f>GP70*(1+$E$11)^-13</f>
        <v>1506786.674269307</v>
      </c>
      <c r="GR70" s="38">
        <f t="shared" si="204"/>
        <v>14518577.375</v>
      </c>
      <c r="GS70" s="52">
        <f t="shared" si="187"/>
        <v>7699511.562958216</v>
      </c>
      <c r="GT70" s="9"/>
    </row>
    <row r="71" spans="1:202" ht="15.75">
      <c r="A71" s="9">
        <v>2009</v>
      </c>
      <c r="B71" s="49">
        <v>2016</v>
      </c>
      <c r="C71" s="31">
        <f t="shared" si="179"/>
        <v>426</v>
      </c>
      <c r="D71" s="31">
        <f t="shared" si="179"/>
        <v>153</v>
      </c>
      <c r="E71" s="31">
        <f t="shared" si="179"/>
        <v>2024</v>
      </c>
      <c r="F71" s="31">
        <f t="shared" si="179"/>
        <v>675</v>
      </c>
      <c r="G71" s="31">
        <f t="shared" si="179"/>
        <v>308</v>
      </c>
      <c r="H71" s="31">
        <f t="shared" si="179"/>
        <v>103</v>
      </c>
      <c r="I71" s="31">
        <f t="shared" si="179"/>
        <v>149</v>
      </c>
      <c r="J71" s="63">
        <f t="shared" si="188"/>
        <v>3259</v>
      </c>
      <c r="K71" s="53">
        <f t="shared" si="189"/>
        <v>3838</v>
      </c>
      <c r="L71" s="36">
        <f t="shared" si="205"/>
        <v>297.85</v>
      </c>
      <c r="M71" s="36">
        <f t="shared" si="190"/>
        <v>564134.375</v>
      </c>
      <c r="N71" s="36">
        <f t="shared" si="206"/>
        <v>82562.725</v>
      </c>
      <c r="O71" s="36">
        <f t="shared" si="221"/>
        <v>97099.1</v>
      </c>
      <c r="P71" s="36">
        <f t="shared" si="236"/>
        <v>101269.00000000001</v>
      </c>
      <c r="Q71" s="36">
        <f t="shared" si="249"/>
        <v>106034.6</v>
      </c>
      <c r="R71" s="36">
        <f t="shared" si="263"/>
        <v>110800.20000000001</v>
      </c>
      <c r="S71" s="36">
        <f t="shared" si="277"/>
        <v>115863.65000000001</v>
      </c>
      <c r="T71" s="36">
        <f aca="true" t="shared" si="291" ref="T71:T79">$C$70*$L$70</f>
        <v>121224.95000000001</v>
      </c>
      <c r="U71" s="36">
        <f>$C$71*$L$71</f>
        <v>126884.1</v>
      </c>
      <c r="V71" s="36"/>
      <c r="W71" s="36"/>
      <c r="X71" s="36"/>
      <c r="Y71" s="47"/>
      <c r="Z71" s="36">
        <f t="shared" si="191"/>
        <v>233618.00000000003</v>
      </c>
      <c r="AA71" s="36">
        <f t="shared" si="207"/>
        <v>32918.9</v>
      </c>
      <c r="AB71" s="36">
        <f t="shared" si="222"/>
        <v>38124.8</v>
      </c>
      <c r="AC71" s="36">
        <f t="shared" si="237"/>
        <v>39316.200000000004</v>
      </c>
      <c r="AD71" s="36">
        <f t="shared" si="250"/>
        <v>40507.600000000006</v>
      </c>
      <c r="AE71" s="36">
        <f t="shared" si="264"/>
        <v>41699</v>
      </c>
      <c r="AF71" s="36">
        <f t="shared" si="278"/>
        <v>42890.4</v>
      </c>
      <c r="AG71" s="36">
        <f aca="true" t="shared" si="292" ref="AG71:AG79">$D$70*$L$70</f>
        <v>44081.8</v>
      </c>
      <c r="AH71" s="36">
        <f>$D$71*$L$71</f>
        <v>45571.05</v>
      </c>
      <c r="AI71" s="36"/>
      <c r="AJ71" s="36"/>
      <c r="AK71" s="36"/>
      <c r="AL71" s="47"/>
      <c r="AM71" s="36">
        <f t="shared" si="192"/>
        <v>2963231.95</v>
      </c>
      <c r="AN71" s="36">
        <f t="shared" si="208"/>
        <v>376709.025</v>
      </c>
      <c r="AO71" s="36">
        <f t="shared" si="223"/>
        <v>444690.05000000005</v>
      </c>
      <c r="AP71" s="36">
        <f t="shared" si="238"/>
        <v>467922.35000000003</v>
      </c>
      <c r="AQ71" s="36">
        <f t="shared" si="251"/>
        <v>492048.2</v>
      </c>
      <c r="AR71" s="36">
        <f t="shared" si="265"/>
        <v>517663.30000000005</v>
      </c>
      <c r="AS71" s="36">
        <f t="shared" si="279"/>
        <v>544767.65</v>
      </c>
      <c r="AT71" s="36">
        <f aca="true" t="shared" si="293" ref="AT71:AT79">$E$70*$L$70</f>
        <v>573063.4</v>
      </c>
      <c r="AU71" s="36">
        <f>$E$71*$L$71</f>
        <v>602848.4</v>
      </c>
      <c r="AV71" s="36"/>
      <c r="AW71" s="36"/>
      <c r="AX71" s="36"/>
      <c r="AY71" s="47"/>
      <c r="AZ71" s="36">
        <f t="shared" si="193"/>
        <v>987832.4750000001</v>
      </c>
      <c r="BA71" s="36">
        <f t="shared" si="209"/>
        <v>125569.67500000002</v>
      </c>
      <c r="BB71" s="36">
        <f t="shared" si="224"/>
        <v>148329.30000000002</v>
      </c>
      <c r="BC71" s="36">
        <f t="shared" si="239"/>
        <v>156073.40000000002</v>
      </c>
      <c r="BD71" s="36">
        <f t="shared" si="252"/>
        <v>164115.35</v>
      </c>
      <c r="BE71" s="36">
        <f t="shared" si="266"/>
        <v>172455.15000000002</v>
      </c>
      <c r="BF71" s="36">
        <f t="shared" si="280"/>
        <v>181688.5</v>
      </c>
      <c r="BG71" s="36">
        <f aca="true" t="shared" si="294" ref="BG71:BG79">$F$70*$L$70</f>
        <v>190921.85</v>
      </c>
      <c r="BH71" s="36">
        <f>$F$71*$L$71</f>
        <v>201048.75000000003</v>
      </c>
      <c r="BI71" s="36"/>
      <c r="BJ71" s="36"/>
      <c r="BK71" s="36"/>
      <c r="BL71" s="47"/>
      <c r="BM71" s="36">
        <f t="shared" si="194"/>
        <v>227246.6</v>
      </c>
      <c r="BN71" s="36">
        <f t="shared" si="210"/>
        <v>41414.100000000006</v>
      </c>
      <c r="BO71" s="36">
        <f t="shared" si="225"/>
        <v>51230.200000000004</v>
      </c>
      <c r="BP71" s="36">
        <f t="shared" si="240"/>
        <v>56293.65</v>
      </c>
      <c r="BQ71" s="36">
        <f t="shared" si="253"/>
        <v>62250.65</v>
      </c>
      <c r="BR71" s="36">
        <f t="shared" si="267"/>
        <v>68505.5</v>
      </c>
      <c r="BS71" s="36">
        <f t="shared" si="281"/>
        <v>75653.90000000001</v>
      </c>
      <c r="BT71" s="36">
        <f aca="true" t="shared" si="295" ref="BT71:BT79">$G$70*$L$70</f>
        <v>83100.15000000001</v>
      </c>
      <c r="BU71" s="36">
        <f>$G$71*$L$71</f>
        <v>91737.8</v>
      </c>
      <c r="BV71" s="36"/>
      <c r="BW71" s="36"/>
      <c r="BX71" s="36"/>
      <c r="BY71" s="47"/>
      <c r="BZ71" s="36">
        <f t="shared" si="195"/>
        <v>75660.375</v>
      </c>
      <c r="CA71" s="36">
        <f t="shared" si="211"/>
        <v>13804.7</v>
      </c>
      <c r="CB71" s="36">
        <f t="shared" si="226"/>
        <v>16977.45</v>
      </c>
      <c r="CC71" s="36">
        <f t="shared" si="241"/>
        <v>18764.550000000003</v>
      </c>
      <c r="CD71" s="36">
        <f t="shared" si="254"/>
        <v>20849.5</v>
      </c>
      <c r="CE71" s="36">
        <f t="shared" si="268"/>
        <v>22934.45</v>
      </c>
      <c r="CF71" s="36">
        <f t="shared" si="282"/>
        <v>25317.250000000004</v>
      </c>
      <c r="CG71" s="36">
        <f aca="true" t="shared" si="296" ref="CG71:CG79">$H$70*$L$70</f>
        <v>27700.050000000003</v>
      </c>
      <c r="CH71" s="36">
        <f>$H$71*$L$71</f>
        <v>30678.550000000003</v>
      </c>
      <c r="CI71" s="36"/>
      <c r="CJ71" s="36"/>
      <c r="CK71" s="36"/>
      <c r="CL71" s="47"/>
      <c r="CM71" s="36">
        <f t="shared" si="196"/>
        <v>218220.45</v>
      </c>
      <c r="CN71" s="36">
        <f t="shared" si="212"/>
        <v>27874.875000000004</v>
      </c>
      <c r="CO71" s="36">
        <f t="shared" si="227"/>
        <v>32763.500000000004</v>
      </c>
      <c r="CP71" s="36">
        <f t="shared" si="228"/>
        <v>34550.600000000006</v>
      </c>
      <c r="CQ71" s="36">
        <f t="shared" si="255"/>
        <v>36337.700000000004</v>
      </c>
      <c r="CR71" s="36">
        <f t="shared" si="269"/>
        <v>38124.8</v>
      </c>
      <c r="CS71" s="36">
        <f t="shared" si="283"/>
        <v>40209.75</v>
      </c>
      <c r="CT71" s="36">
        <f aca="true" t="shared" si="297" ref="CT71:CT79">$I$70*$L$70</f>
        <v>42294.700000000004</v>
      </c>
      <c r="CU71" s="36">
        <f>$I$71*$L$71</f>
        <v>44379.65</v>
      </c>
      <c r="CV71" s="36"/>
      <c r="CW71" s="36"/>
      <c r="CX71" s="36"/>
      <c r="CY71" s="36"/>
      <c r="CZ71" s="36">
        <f t="shared" si="180"/>
        <v>12820454.675</v>
      </c>
      <c r="DA71" s="38">
        <f>CZ71*(1+$E$10)^-14</f>
        <v>6475200.799174081</v>
      </c>
      <c r="DB71" s="78">
        <f t="shared" si="213"/>
        <v>0</v>
      </c>
      <c r="DC71" s="36">
        <f t="shared" si="197"/>
        <v>618375</v>
      </c>
      <c r="DD71" s="36">
        <f t="shared" si="214"/>
        <v>90501</v>
      </c>
      <c r="DE71" s="36">
        <f t="shared" si="229"/>
        <v>0</v>
      </c>
      <c r="DF71" s="36">
        <f t="shared" si="242"/>
        <v>0</v>
      </c>
      <c r="DG71" s="36">
        <f t="shared" si="256"/>
        <v>0</v>
      </c>
      <c r="DH71" s="36">
        <f t="shared" si="270"/>
        <v>0</v>
      </c>
      <c r="DI71" s="36">
        <f t="shared" si="284"/>
        <v>0</v>
      </c>
      <c r="DJ71" s="36">
        <f aca="true" t="shared" si="298" ref="DJ71:DJ79">$C$70*$DB$70</f>
        <v>0</v>
      </c>
      <c r="DK71" s="36">
        <f>$C$71*$DB$71</f>
        <v>0</v>
      </c>
      <c r="DL71" s="36"/>
      <c r="DM71" s="36"/>
      <c r="DN71" s="36"/>
      <c r="DO71" s="47"/>
      <c r="DP71" s="36">
        <f t="shared" si="181"/>
        <v>94160</v>
      </c>
      <c r="DQ71" s="36">
        <f t="shared" si="198"/>
        <v>13268</v>
      </c>
      <c r="DR71" s="36">
        <f t="shared" si="215"/>
        <v>0</v>
      </c>
      <c r="DS71" s="36">
        <f t="shared" si="230"/>
        <v>0</v>
      </c>
      <c r="DT71" s="36">
        <f t="shared" si="243"/>
        <v>0</v>
      </c>
      <c r="DU71" s="36">
        <f t="shared" si="257"/>
        <v>0</v>
      </c>
      <c r="DV71" s="36">
        <f t="shared" si="271"/>
        <v>0</v>
      </c>
      <c r="DW71" s="36">
        <f t="shared" si="285"/>
        <v>0</v>
      </c>
      <c r="DX71" s="36">
        <f aca="true" t="shared" si="299" ref="DX71:DX80">$D$33*$DB$33</f>
        <v>0</v>
      </c>
      <c r="DY71" s="36"/>
      <c r="DZ71" s="36"/>
      <c r="EA71" s="36"/>
      <c r="EB71" s="47"/>
      <c r="EC71" s="36">
        <f t="shared" si="182"/>
        <v>1194334</v>
      </c>
      <c r="ED71" s="36">
        <f t="shared" si="199"/>
        <v>151833</v>
      </c>
      <c r="EE71" s="36">
        <f t="shared" si="216"/>
        <v>0</v>
      </c>
      <c r="EF71" s="36">
        <f t="shared" si="231"/>
        <v>0</v>
      </c>
      <c r="EG71" s="36">
        <f t="shared" si="244"/>
        <v>0</v>
      </c>
      <c r="EH71" s="36">
        <f t="shared" si="258"/>
        <v>0</v>
      </c>
      <c r="EI71" s="36">
        <f t="shared" si="272"/>
        <v>0</v>
      </c>
      <c r="EJ71" s="36">
        <f t="shared" si="286"/>
        <v>0</v>
      </c>
      <c r="EK71" s="36">
        <f aca="true" t="shared" si="300" ref="EK71:EK80">$E$33*$DB$33</f>
        <v>0</v>
      </c>
      <c r="EL71" s="36"/>
      <c r="EM71" s="36"/>
      <c r="EN71" s="36"/>
      <c r="EO71" s="47"/>
      <c r="EP71" s="36">
        <f t="shared" si="183"/>
        <v>398147</v>
      </c>
      <c r="EQ71" s="36">
        <f t="shared" si="200"/>
        <v>50611</v>
      </c>
      <c r="ER71" s="36">
        <f t="shared" si="217"/>
        <v>0</v>
      </c>
      <c r="ES71" s="36">
        <f t="shared" si="232"/>
        <v>0</v>
      </c>
      <c r="ET71" s="36">
        <f t="shared" si="245"/>
        <v>0</v>
      </c>
      <c r="EU71" s="36">
        <f t="shared" si="259"/>
        <v>0</v>
      </c>
      <c r="EV71" s="36">
        <f t="shared" si="273"/>
        <v>0</v>
      </c>
      <c r="EW71" s="36">
        <f t="shared" si="287"/>
        <v>0</v>
      </c>
      <c r="EX71" s="36">
        <f aca="true" t="shared" si="301" ref="EX71:EX80">$F$33*$DB$33</f>
        <v>0</v>
      </c>
      <c r="EY71" s="36"/>
      <c r="EZ71" s="36"/>
      <c r="FA71" s="36"/>
      <c r="FB71" s="47"/>
      <c r="FC71" s="36">
        <f t="shared" si="184"/>
        <v>83032</v>
      </c>
      <c r="FD71" s="36">
        <f t="shared" si="201"/>
        <v>15132</v>
      </c>
      <c r="FE71" s="36">
        <f t="shared" si="218"/>
        <v>0</v>
      </c>
      <c r="FF71" s="36">
        <f t="shared" si="233"/>
        <v>0</v>
      </c>
      <c r="FG71" s="36">
        <f t="shared" si="246"/>
        <v>0</v>
      </c>
      <c r="FH71" s="36">
        <f t="shared" si="260"/>
        <v>0</v>
      </c>
      <c r="FI71" s="36">
        <f t="shared" si="274"/>
        <v>0</v>
      </c>
      <c r="FJ71" s="36">
        <f t="shared" si="288"/>
        <v>0</v>
      </c>
      <c r="FK71" s="36">
        <f aca="true" t="shared" si="302" ref="FK71:FK80">$G$33*$K$59</f>
        <v>0</v>
      </c>
      <c r="FL71" s="36"/>
      <c r="FM71" s="36"/>
      <c r="FN71" s="36"/>
      <c r="FO71" s="47"/>
      <c r="FP71" s="36">
        <f t="shared" si="185"/>
        <v>27645</v>
      </c>
      <c r="FQ71" s="36">
        <f t="shared" si="202"/>
        <v>5044</v>
      </c>
      <c r="FR71" s="36">
        <f t="shared" si="219"/>
        <v>0</v>
      </c>
      <c r="FS71" s="36">
        <f t="shared" si="234"/>
        <v>0</v>
      </c>
      <c r="FT71" s="36">
        <f t="shared" si="247"/>
        <v>0</v>
      </c>
      <c r="FU71" s="36">
        <f t="shared" si="261"/>
        <v>0</v>
      </c>
      <c r="FV71" s="36">
        <f t="shared" si="275"/>
        <v>0</v>
      </c>
      <c r="FW71" s="36">
        <f t="shared" si="289"/>
        <v>0</v>
      </c>
      <c r="FX71" s="36">
        <f aca="true" t="shared" si="303" ref="FX71:FX80">$H$33*$K$59</f>
        <v>0</v>
      </c>
      <c r="FY71" s="36"/>
      <c r="FZ71" s="36"/>
      <c r="GA71" s="36"/>
      <c r="GB71" s="47"/>
      <c r="GC71" s="36">
        <f t="shared" si="186"/>
        <v>87954</v>
      </c>
      <c r="GD71" s="36">
        <f t="shared" si="203"/>
        <v>11235</v>
      </c>
      <c r="GE71" s="36">
        <f t="shared" si="220"/>
        <v>0</v>
      </c>
      <c r="GF71" s="36">
        <f t="shared" si="235"/>
        <v>0</v>
      </c>
      <c r="GG71" s="36">
        <f t="shared" si="248"/>
        <v>0</v>
      </c>
      <c r="GH71" s="36">
        <f t="shared" si="262"/>
        <v>0</v>
      </c>
      <c r="GI71" s="36">
        <f t="shared" si="276"/>
        <v>0</v>
      </c>
      <c r="GJ71" s="36">
        <f t="shared" si="290"/>
        <v>0</v>
      </c>
      <c r="GK71" s="36">
        <f aca="true" t="shared" si="304" ref="GK71:GK80">$I$33*$DB$33</f>
        <v>0</v>
      </c>
      <c r="GL71" s="36"/>
      <c r="GM71" s="36"/>
      <c r="GN71" s="36"/>
      <c r="GO71" s="47"/>
      <c r="GP71" s="36">
        <f>SUM(DC71:GO71)</f>
        <v>2841271</v>
      </c>
      <c r="GQ71" s="38">
        <f>GP71*(1+$E$11)^-14</f>
        <v>1435034.927875531</v>
      </c>
      <c r="GR71" s="38">
        <f t="shared" si="204"/>
        <v>15661725.675</v>
      </c>
      <c r="GS71" s="52">
        <f t="shared" si="187"/>
        <v>7910235.7270496115</v>
      </c>
      <c r="GT71" s="9"/>
    </row>
    <row r="72" spans="1:202" ht="15.75">
      <c r="A72" s="9">
        <v>2010</v>
      </c>
      <c r="B72" s="49">
        <v>2017</v>
      </c>
      <c r="C72" s="31">
        <f t="shared" si="179"/>
        <v>445</v>
      </c>
      <c r="D72" s="31">
        <f t="shared" si="179"/>
        <v>157</v>
      </c>
      <c r="E72" s="31">
        <f t="shared" si="179"/>
        <v>2129</v>
      </c>
      <c r="F72" s="31">
        <f t="shared" si="179"/>
        <v>710</v>
      </c>
      <c r="G72" s="31">
        <f t="shared" si="179"/>
        <v>339</v>
      </c>
      <c r="H72" s="31">
        <f t="shared" si="179"/>
        <v>113</v>
      </c>
      <c r="I72" s="31">
        <f t="shared" si="179"/>
        <v>157</v>
      </c>
      <c r="J72" s="63">
        <f t="shared" si="188"/>
        <v>3448</v>
      </c>
      <c r="K72" s="53">
        <f t="shared" si="189"/>
        <v>4050</v>
      </c>
      <c r="L72" s="36">
        <f t="shared" si="205"/>
        <v>297.85</v>
      </c>
      <c r="M72" s="36">
        <f t="shared" si="190"/>
        <v>564134.375</v>
      </c>
      <c r="N72" s="36">
        <f t="shared" si="206"/>
        <v>82562.725</v>
      </c>
      <c r="O72" s="36">
        <f t="shared" si="221"/>
        <v>97099.1</v>
      </c>
      <c r="P72" s="36">
        <f t="shared" si="236"/>
        <v>101269.00000000001</v>
      </c>
      <c r="Q72" s="36">
        <f t="shared" si="249"/>
        <v>106034.6</v>
      </c>
      <c r="R72" s="36">
        <f t="shared" si="263"/>
        <v>110800.20000000001</v>
      </c>
      <c r="S72" s="36">
        <f t="shared" si="277"/>
        <v>115863.65000000001</v>
      </c>
      <c r="T72" s="36">
        <f t="shared" si="291"/>
        <v>121224.95000000001</v>
      </c>
      <c r="U72" s="36">
        <f aca="true" t="shared" si="305" ref="U72:U80">$C$71*$L$71</f>
        <v>126884.1</v>
      </c>
      <c r="V72" s="36">
        <f>$C$72*$L$72</f>
        <v>132543.25</v>
      </c>
      <c r="W72" s="36"/>
      <c r="X72" s="36"/>
      <c r="Y72" s="47"/>
      <c r="Z72" s="36">
        <f t="shared" si="191"/>
        <v>233618.00000000003</v>
      </c>
      <c r="AA72" s="36">
        <f t="shared" si="207"/>
        <v>32918.9</v>
      </c>
      <c r="AB72" s="36">
        <f t="shared" si="222"/>
        <v>38124.8</v>
      </c>
      <c r="AC72" s="36">
        <f t="shared" si="237"/>
        <v>39316.200000000004</v>
      </c>
      <c r="AD72" s="36">
        <f t="shared" si="250"/>
        <v>40507.600000000006</v>
      </c>
      <c r="AE72" s="36">
        <f t="shared" si="264"/>
        <v>41699</v>
      </c>
      <c r="AF72" s="36">
        <f t="shared" si="278"/>
        <v>42890.4</v>
      </c>
      <c r="AG72" s="36">
        <f t="shared" si="292"/>
        <v>44081.8</v>
      </c>
      <c r="AH72" s="36">
        <f aca="true" t="shared" si="306" ref="AH72:AH80">$D$71*$L$71</f>
        <v>45571.05</v>
      </c>
      <c r="AI72" s="36">
        <f>$D$72*$L$72</f>
        <v>46762.450000000004</v>
      </c>
      <c r="AJ72" s="36"/>
      <c r="AK72" s="36"/>
      <c r="AL72" s="47"/>
      <c r="AM72" s="36">
        <f t="shared" si="192"/>
        <v>2963231.95</v>
      </c>
      <c r="AN72" s="36">
        <f t="shared" si="208"/>
        <v>376709.025</v>
      </c>
      <c r="AO72" s="36">
        <f t="shared" si="223"/>
        <v>444690.05000000005</v>
      </c>
      <c r="AP72" s="36">
        <f t="shared" si="238"/>
        <v>467922.35000000003</v>
      </c>
      <c r="AQ72" s="36">
        <f t="shared" si="251"/>
        <v>492048.2</v>
      </c>
      <c r="AR72" s="36">
        <f t="shared" si="265"/>
        <v>517663.30000000005</v>
      </c>
      <c r="AS72" s="36">
        <f t="shared" si="279"/>
        <v>544767.65</v>
      </c>
      <c r="AT72" s="36">
        <f t="shared" si="293"/>
        <v>573063.4</v>
      </c>
      <c r="AU72" s="36">
        <f aca="true" t="shared" si="307" ref="AU72:AU80">$E$71*$L$71</f>
        <v>602848.4</v>
      </c>
      <c r="AV72" s="36">
        <f>$E$72*$L$72</f>
        <v>634122.65</v>
      </c>
      <c r="AW72" s="36"/>
      <c r="AX72" s="36"/>
      <c r="AY72" s="47"/>
      <c r="AZ72" s="36">
        <f t="shared" si="193"/>
        <v>987832.4750000001</v>
      </c>
      <c r="BA72" s="36">
        <f t="shared" si="209"/>
        <v>125569.67500000002</v>
      </c>
      <c r="BB72" s="36">
        <f t="shared" si="224"/>
        <v>148329.30000000002</v>
      </c>
      <c r="BC72" s="36">
        <f t="shared" si="239"/>
        <v>156073.40000000002</v>
      </c>
      <c r="BD72" s="36">
        <f t="shared" si="252"/>
        <v>164115.35</v>
      </c>
      <c r="BE72" s="36">
        <f t="shared" si="266"/>
        <v>172455.15000000002</v>
      </c>
      <c r="BF72" s="36">
        <f t="shared" si="280"/>
        <v>181688.5</v>
      </c>
      <c r="BG72" s="36">
        <f t="shared" si="294"/>
        <v>190921.85</v>
      </c>
      <c r="BH72" s="36">
        <f aca="true" t="shared" si="308" ref="BH72:BH80">$F$71*$L$71</f>
        <v>201048.75000000003</v>
      </c>
      <c r="BI72" s="36">
        <f>$F$72*$L$72</f>
        <v>211473.50000000003</v>
      </c>
      <c r="BJ72" s="36"/>
      <c r="BK72" s="36"/>
      <c r="BL72" s="47"/>
      <c r="BM72" s="36">
        <f t="shared" si="194"/>
        <v>227246.6</v>
      </c>
      <c r="BN72" s="36">
        <f t="shared" si="210"/>
        <v>41414.100000000006</v>
      </c>
      <c r="BO72" s="36">
        <f t="shared" si="225"/>
        <v>51230.200000000004</v>
      </c>
      <c r="BP72" s="36">
        <f t="shared" si="240"/>
        <v>56293.65</v>
      </c>
      <c r="BQ72" s="36">
        <f t="shared" si="253"/>
        <v>62250.65</v>
      </c>
      <c r="BR72" s="36">
        <f t="shared" si="267"/>
        <v>68505.5</v>
      </c>
      <c r="BS72" s="36">
        <f t="shared" si="281"/>
        <v>75653.90000000001</v>
      </c>
      <c r="BT72" s="36">
        <f t="shared" si="295"/>
        <v>83100.15000000001</v>
      </c>
      <c r="BU72" s="36">
        <f aca="true" t="shared" si="309" ref="BU72:BU80">$G$71*$L$71</f>
        <v>91737.8</v>
      </c>
      <c r="BV72" s="36">
        <f>$G$72*$L$72</f>
        <v>100971.15000000001</v>
      </c>
      <c r="BW72" s="36"/>
      <c r="BX72" s="36"/>
      <c r="BY72" s="47"/>
      <c r="BZ72" s="36">
        <f t="shared" si="195"/>
        <v>75660.375</v>
      </c>
      <c r="CA72" s="36">
        <f t="shared" si="211"/>
        <v>13804.7</v>
      </c>
      <c r="CB72" s="36">
        <f t="shared" si="226"/>
        <v>16977.45</v>
      </c>
      <c r="CC72" s="36">
        <f t="shared" si="241"/>
        <v>18764.550000000003</v>
      </c>
      <c r="CD72" s="36">
        <f t="shared" si="254"/>
        <v>20849.5</v>
      </c>
      <c r="CE72" s="36">
        <f t="shared" si="268"/>
        <v>22934.45</v>
      </c>
      <c r="CF72" s="36">
        <f t="shared" si="282"/>
        <v>25317.250000000004</v>
      </c>
      <c r="CG72" s="36">
        <f t="shared" si="296"/>
        <v>27700.050000000003</v>
      </c>
      <c r="CH72" s="36">
        <f aca="true" t="shared" si="310" ref="CH72:CH80">$H$71*$L$71</f>
        <v>30678.550000000003</v>
      </c>
      <c r="CI72" s="36">
        <f>$H$72*$L$72</f>
        <v>33657.05</v>
      </c>
      <c r="CJ72" s="36"/>
      <c r="CK72" s="36"/>
      <c r="CL72" s="47"/>
      <c r="CM72" s="36">
        <f t="shared" si="196"/>
        <v>218220.45</v>
      </c>
      <c r="CN72" s="36">
        <f t="shared" si="212"/>
        <v>27874.875000000004</v>
      </c>
      <c r="CO72" s="36">
        <f t="shared" si="227"/>
        <v>32763.500000000004</v>
      </c>
      <c r="CP72" s="36">
        <f t="shared" si="228"/>
        <v>34550.600000000006</v>
      </c>
      <c r="CQ72" s="36">
        <f t="shared" si="255"/>
        <v>36337.700000000004</v>
      </c>
      <c r="CR72" s="36">
        <f t="shared" si="269"/>
        <v>38124.8</v>
      </c>
      <c r="CS72" s="36">
        <f t="shared" si="283"/>
        <v>40209.75</v>
      </c>
      <c r="CT72" s="36">
        <f t="shared" si="297"/>
        <v>42294.700000000004</v>
      </c>
      <c r="CU72" s="36">
        <f aca="true" t="shared" si="311" ref="CU72:CU80">$I$71*$L$71</f>
        <v>44379.65</v>
      </c>
      <c r="CV72" s="36">
        <f>$I$72*$L$72</f>
        <v>46762.450000000004</v>
      </c>
      <c r="CW72" s="36"/>
      <c r="CX72" s="36"/>
      <c r="CY72" s="36"/>
      <c r="CZ72" s="36">
        <f t="shared" si="180"/>
        <v>14026747.175</v>
      </c>
      <c r="DA72" s="38">
        <f>CZ72*(1+$E$10)^-15</f>
        <v>6747105.221774215</v>
      </c>
      <c r="DB72" s="78">
        <f t="shared" si="213"/>
        <v>0</v>
      </c>
      <c r="DC72" s="36">
        <f t="shared" si="197"/>
        <v>618375</v>
      </c>
      <c r="DD72" s="36">
        <f t="shared" si="214"/>
        <v>90501</v>
      </c>
      <c r="DE72" s="36">
        <f t="shared" si="229"/>
        <v>0</v>
      </c>
      <c r="DF72" s="36">
        <f t="shared" si="242"/>
        <v>0</v>
      </c>
      <c r="DG72" s="36">
        <f t="shared" si="256"/>
        <v>0</v>
      </c>
      <c r="DH72" s="36">
        <f t="shared" si="270"/>
        <v>0</v>
      </c>
      <c r="DI72" s="36">
        <f t="shared" si="284"/>
        <v>0</v>
      </c>
      <c r="DJ72" s="36">
        <f t="shared" si="298"/>
        <v>0</v>
      </c>
      <c r="DK72" s="36">
        <f aca="true" t="shared" si="312" ref="DK72:DK80">$C$71*$DB$71</f>
        <v>0</v>
      </c>
      <c r="DL72" s="36">
        <f>$C$72*$DB$72</f>
        <v>0</v>
      </c>
      <c r="DM72" s="36"/>
      <c r="DN72" s="36"/>
      <c r="DO72" s="47"/>
      <c r="DP72" s="36">
        <f t="shared" si="181"/>
        <v>94160</v>
      </c>
      <c r="DQ72" s="36">
        <f t="shared" si="198"/>
        <v>13268</v>
      </c>
      <c r="DR72" s="36">
        <f t="shared" si="215"/>
        <v>0</v>
      </c>
      <c r="DS72" s="36">
        <f t="shared" si="230"/>
        <v>0</v>
      </c>
      <c r="DT72" s="36">
        <f t="shared" si="243"/>
        <v>0</v>
      </c>
      <c r="DU72" s="36">
        <f t="shared" si="257"/>
        <v>0</v>
      </c>
      <c r="DV72" s="36">
        <f t="shared" si="271"/>
        <v>0</v>
      </c>
      <c r="DW72" s="36">
        <f t="shared" si="285"/>
        <v>0</v>
      </c>
      <c r="DX72" s="36">
        <f t="shared" si="299"/>
        <v>0</v>
      </c>
      <c r="DY72" s="36">
        <f aca="true" t="shared" si="313" ref="DY72:DY81">$D$34*$DB$34</f>
        <v>0</v>
      </c>
      <c r="DZ72" s="36"/>
      <c r="EA72" s="36"/>
      <c r="EB72" s="47"/>
      <c r="EC72" s="36">
        <f t="shared" si="182"/>
        <v>1194334</v>
      </c>
      <c r="ED72" s="36">
        <f t="shared" si="199"/>
        <v>151833</v>
      </c>
      <c r="EE72" s="36">
        <f t="shared" si="216"/>
        <v>0</v>
      </c>
      <c r="EF72" s="36">
        <f t="shared" si="231"/>
        <v>0</v>
      </c>
      <c r="EG72" s="36">
        <f t="shared" si="244"/>
        <v>0</v>
      </c>
      <c r="EH72" s="36">
        <f t="shared" si="258"/>
        <v>0</v>
      </c>
      <c r="EI72" s="36">
        <f t="shared" si="272"/>
        <v>0</v>
      </c>
      <c r="EJ72" s="36">
        <f t="shared" si="286"/>
        <v>0</v>
      </c>
      <c r="EK72" s="36">
        <f t="shared" si="300"/>
        <v>0</v>
      </c>
      <c r="EL72" s="36">
        <f aca="true" t="shared" si="314" ref="EL72:EL81">$E$34*$DB$34</f>
        <v>0</v>
      </c>
      <c r="EM72" s="36"/>
      <c r="EN72" s="36"/>
      <c r="EO72" s="47"/>
      <c r="EP72" s="36">
        <f t="shared" si="183"/>
        <v>398147</v>
      </c>
      <c r="EQ72" s="36">
        <f t="shared" si="200"/>
        <v>50611</v>
      </c>
      <c r="ER72" s="36">
        <f t="shared" si="217"/>
        <v>0</v>
      </c>
      <c r="ES72" s="36">
        <f t="shared" si="232"/>
        <v>0</v>
      </c>
      <c r="ET72" s="36">
        <f t="shared" si="245"/>
        <v>0</v>
      </c>
      <c r="EU72" s="36">
        <f t="shared" si="259"/>
        <v>0</v>
      </c>
      <c r="EV72" s="36">
        <f t="shared" si="273"/>
        <v>0</v>
      </c>
      <c r="EW72" s="36">
        <f t="shared" si="287"/>
        <v>0</v>
      </c>
      <c r="EX72" s="36">
        <f t="shared" si="301"/>
        <v>0</v>
      </c>
      <c r="EY72" s="36">
        <f aca="true" t="shared" si="315" ref="EY72:EY81">$F$34*$DB$34</f>
        <v>0</v>
      </c>
      <c r="EZ72" s="36"/>
      <c r="FA72" s="36"/>
      <c r="FB72" s="47"/>
      <c r="FC72" s="36">
        <f t="shared" si="184"/>
        <v>83032</v>
      </c>
      <c r="FD72" s="36">
        <f t="shared" si="201"/>
        <v>15132</v>
      </c>
      <c r="FE72" s="36">
        <f t="shared" si="218"/>
        <v>0</v>
      </c>
      <c r="FF72" s="36">
        <f t="shared" si="233"/>
        <v>0</v>
      </c>
      <c r="FG72" s="36">
        <f t="shared" si="246"/>
        <v>0</v>
      </c>
      <c r="FH72" s="36">
        <f t="shared" si="260"/>
        <v>0</v>
      </c>
      <c r="FI72" s="36">
        <f t="shared" si="274"/>
        <v>0</v>
      </c>
      <c r="FJ72" s="36">
        <f t="shared" si="288"/>
        <v>0</v>
      </c>
      <c r="FK72" s="36">
        <f t="shared" si="302"/>
        <v>0</v>
      </c>
      <c r="FL72" s="36">
        <f aca="true" t="shared" si="316" ref="FL72:FL81">$G$34*$K$59</f>
        <v>0</v>
      </c>
      <c r="FM72" s="36"/>
      <c r="FN72" s="36"/>
      <c r="FO72" s="47"/>
      <c r="FP72" s="36">
        <f t="shared" si="185"/>
        <v>27645</v>
      </c>
      <c r="FQ72" s="36">
        <f t="shared" si="202"/>
        <v>5044</v>
      </c>
      <c r="FR72" s="36">
        <f t="shared" si="219"/>
        <v>0</v>
      </c>
      <c r="FS72" s="36">
        <f t="shared" si="234"/>
        <v>0</v>
      </c>
      <c r="FT72" s="36">
        <f t="shared" si="247"/>
        <v>0</v>
      </c>
      <c r="FU72" s="36">
        <f t="shared" si="261"/>
        <v>0</v>
      </c>
      <c r="FV72" s="36">
        <f t="shared" si="275"/>
        <v>0</v>
      </c>
      <c r="FW72" s="36">
        <f t="shared" si="289"/>
        <v>0</v>
      </c>
      <c r="FX72" s="36">
        <f t="shared" si="303"/>
        <v>0</v>
      </c>
      <c r="FY72" s="36">
        <f aca="true" t="shared" si="317" ref="FY72:FY81">$H$34*$K$59</f>
        <v>0</v>
      </c>
      <c r="FZ72" s="36"/>
      <c r="GA72" s="36"/>
      <c r="GB72" s="47"/>
      <c r="GC72" s="36">
        <f t="shared" si="186"/>
        <v>87954</v>
      </c>
      <c r="GD72" s="36">
        <f t="shared" si="203"/>
        <v>11235</v>
      </c>
      <c r="GE72" s="36">
        <f t="shared" si="220"/>
        <v>0</v>
      </c>
      <c r="GF72" s="36">
        <f t="shared" si="235"/>
        <v>0</v>
      </c>
      <c r="GG72" s="36">
        <f t="shared" si="248"/>
        <v>0</v>
      </c>
      <c r="GH72" s="36">
        <f t="shared" si="262"/>
        <v>0</v>
      </c>
      <c r="GI72" s="36">
        <f t="shared" si="276"/>
        <v>0</v>
      </c>
      <c r="GJ72" s="36">
        <f t="shared" si="290"/>
        <v>0</v>
      </c>
      <c r="GK72" s="36">
        <f t="shared" si="304"/>
        <v>0</v>
      </c>
      <c r="GL72" s="36">
        <f aca="true" t="shared" si="318" ref="GL72:GL81">$I$34*$DB$34</f>
        <v>0</v>
      </c>
      <c r="GM72" s="36"/>
      <c r="GN72" s="36"/>
      <c r="GO72" s="47"/>
      <c r="GP72" s="36">
        <f>SUM(DC72:GO72)</f>
        <v>2841271</v>
      </c>
      <c r="GQ72" s="38">
        <f>GP72*(1+$E$11)^-15</f>
        <v>1366699.931310029</v>
      </c>
      <c r="GR72" s="38">
        <f t="shared" si="204"/>
        <v>16868018.175</v>
      </c>
      <c r="GS72" s="52">
        <f t="shared" si="187"/>
        <v>8113805.153084244</v>
      </c>
      <c r="GT72" s="9"/>
    </row>
    <row r="73" spans="1:202" ht="15.75">
      <c r="A73" s="9">
        <v>2011</v>
      </c>
      <c r="B73" s="49">
        <v>2018</v>
      </c>
      <c r="C73" s="31">
        <f t="shared" si="179"/>
        <v>465</v>
      </c>
      <c r="D73" s="31">
        <f t="shared" si="179"/>
        <v>162</v>
      </c>
      <c r="E73" s="31">
        <f t="shared" si="179"/>
        <v>2240</v>
      </c>
      <c r="F73" s="31">
        <f t="shared" si="179"/>
        <v>747</v>
      </c>
      <c r="G73" s="31">
        <f t="shared" si="179"/>
        <v>374</v>
      </c>
      <c r="H73" s="31">
        <f t="shared" si="179"/>
        <v>125</v>
      </c>
      <c r="I73" s="31">
        <f t="shared" si="179"/>
        <v>165</v>
      </c>
      <c r="J73" s="63">
        <f t="shared" si="188"/>
        <v>3651</v>
      </c>
      <c r="K73" s="53">
        <f t="shared" si="189"/>
        <v>4278</v>
      </c>
      <c r="L73" s="36">
        <f t="shared" si="205"/>
        <v>297.85</v>
      </c>
      <c r="M73" s="36"/>
      <c r="N73" s="36">
        <f t="shared" si="206"/>
        <v>82562.725</v>
      </c>
      <c r="O73" s="36">
        <f t="shared" si="221"/>
        <v>97099.1</v>
      </c>
      <c r="P73" s="36">
        <f t="shared" si="236"/>
        <v>101269.00000000001</v>
      </c>
      <c r="Q73" s="36">
        <f t="shared" si="249"/>
        <v>106034.6</v>
      </c>
      <c r="R73" s="36">
        <f t="shared" si="263"/>
        <v>110800.20000000001</v>
      </c>
      <c r="S73" s="36">
        <f t="shared" si="277"/>
        <v>115863.65000000001</v>
      </c>
      <c r="T73" s="36">
        <f t="shared" si="291"/>
        <v>121224.95000000001</v>
      </c>
      <c r="U73" s="36">
        <f t="shared" si="305"/>
        <v>126884.1</v>
      </c>
      <c r="V73" s="36">
        <f aca="true" t="shared" si="319" ref="V73:V81">$C$72*$L$72</f>
        <v>132543.25</v>
      </c>
      <c r="W73" s="36">
        <f>$C$73*$L$73</f>
        <v>138500.25</v>
      </c>
      <c r="X73" s="36"/>
      <c r="Y73" s="47"/>
      <c r="Z73" s="36"/>
      <c r="AA73" s="36">
        <f t="shared" si="207"/>
        <v>32918.9</v>
      </c>
      <c r="AB73" s="36">
        <f t="shared" si="222"/>
        <v>38124.8</v>
      </c>
      <c r="AC73" s="36">
        <f t="shared" si="237"/>
        <v>39316.200000000004</v>
      </c>
      <c r="AD73" s="36">
        <f t="shared" si="250"/>
        <v>40507.600000000006</v>
      </c>
      <c r="AE73" s="36">
        <f t="shared" si="264"/>
        <v>41699</v>
      </c>
      <c r="AF73" s="36">
        <f t="shared" si="278"/>
        <v>42890.4</v>
      </c>
      <c r="AG73" s="36">
        <f t="shared" si="292"/>
        <v>44081.8</v>
      </c>
      <c r="AH73" s="36">
        <f t="shared" si="306"/>
        <v>45571.05</v>
      </c>
      <c r="AI73" s="36">
        <f aca="true" t="shared" si="320" ref="AI73:AI81">$D$72*$L$72</f>
        <v>46762.450000000004</v>
      </c>
      <c r="AJ73" s="36">
        <f>$D$73*$L$73</f>
        <v>48251.700000000004</v>
      </c>
      <c r="AK73" s="36"/>
      <c r="AL73" s="47"/>
      <c r="AM73" s="36"/>
      <c r="AN73" s="36">
        <f t="shared" si="208"/>
        <v>376709.025</v>
      </c>
      <c r="AO73" s="36">
        <f t="shared" si="223"/>
        <v>444690.05000000005</v>
      </c>
      <c r="AP73" s="36">
        <f t="shared" si="238"/>
        <v>467922.35000000003</v>
      </c>
      <c r="AQ73" s="36">
        <f t="shared" si="251"/>
        <v>492048.2</v>
      </c>
      <c r="AR73" s="36">
        <f t="shared" si="265"/>
        <v>517663.30000000005</v>
      </c>
      <c r="AS73" s="36">
        <f t="shared" si="279"/>
        <v>544767.65</v>
      </c>
      <c r="AT73" s="36">
        <f t="shared" si="293"/>
        <v>573063.4</v>
      </c>
      <c r="AU73" s="36">
        <f t="shared" si="307"/>
        <v>602848.4</v>
      </c>
      <c r="AV73" s="36">
        <f aca="true" t="shared" si="321" ref="AV73:AV81">$E$72*$L$72</f>
        <v>634122.65</v>
      </c>
      <c r="AW73" s="36">
        <f>$E$73*$L$73</f>
        <v>667184</v>
      </c>
      <c r="AX73" s="36"/>
      <c r="AY73" s="47"/>
      <c r="AZ73" s="36"/>
      <c r="BA73" s="36">
        <f t="shared" si="209"/>
        <v>125569.67500000002</v>
      </c>
      <c r="BB73" s="36">
        <f t="shared" si="224"/>
        <v>148329.30000000002</v>
      </c>
      <c r="BC73" s="36">
        <f t="shared" si="239"/>
        <v>156073.40000000002</v>
      </c>
      <c r="BD73" s="36">
        <f t="shared" si="252"/>
        <v>164115.35</v>
      </c>
      <c r="BE73" s="36">
        <f t="shared" si="266"/>
        <v>172455.15000000002</v>
      </c>
      <c r="BF73" s="36">
        <f t="shared" si="280"/>
        <v>181688.5</v>
      </c>
      <c r="BG73" s="36">
        <f t="shared" si="294"/>
        <v>190921.85</v>
      </c>
      <c r="BH73" s="36">
        <f t="shared" si="308"/>
        <v>201048.75000000003</v>
      </c>
      <c r="BI73" s="36">
        <f aca="true" t="shared" si="322" ref="BI73:BI81">$F$72*$L$72</f>
        <v>211473.50000000003</v>
      </c>
      <c r="BJ73" s="36">
        <f>$F$73*$L$73</f>
        <v>222493.95</v>
      </c>
      <c r="BK73" s="36"/>
      <c r="BL73" s="47"/>
      <c r="BM73" s="36"/>
      <c r="BN73" s="36">
        <f t="shared" si="210"/>
        <v>41414.100000000006</v>
      </c>
      <c r="BO73" s="36">
        <f t="shared" si="225"/>
        <v>51230.200000000004</v>
      </c>
      <c r="BP73" s="36">
        <f t="shared" si="240"/>
        <v>56293.65</v>
      </c>
      <c r="BQ73" s="36">
        <f t="shared" si="253"/>
        <v>62250.65</v>
      </c>
      <c r="BR73" s="36">
        <f t="shared" si="267"/>
        <v>68505.5</v>
      </c>
      <c r="BS73" s="36">
        <f t="shared" si="281"/>
        <v>75653.90000000001</v>
      </c>
      <c r="BT73" s="36">
        <f t="shared" si="295"/>
        <v>83100.15000000001</v>
      </c>
      <c r="BU73" s="36">
        <f t="shared" si="309"/>
        <v>91737.8</v>
      </c>
      <c r="BV73" s="36">
        <f aca="true" t="shared" si="323" ref="BV73:BV81">$G$72*$L$72</f>
        <v>100971.15000000001</v>
      </c>
      <c r="BW73" s="36">
        <f>$G$73*$L$73</f>
        <v>111395.90000000001</v>
      </c>
      <c r="BX73" s="36"/>
      <c r="BY73" s="47"/>
      <c r="BZ73" s="36"/>
      <c r="CA73" s="36">
        <f t="shared" si="211"/>
        <v>13804.7</v>
      </c>
      <c r="CB73" s="36">
        <f t="shared" si="226"/>
        <v>16977.45</v>
      </c>
      <c r="CC73" s="36">
        <f t="shared" si="241"/>
        <v>18764.550000000003</v>
      </c>
      <c r="CD73" s="36">
        <f t="shared" si="254"/>
        <v>20849.5</v>
      </c>
      <c r="CE73" s="36">
        <f t="shared" si="268"/>
        <v>22934.45</v>
      </c>
      <c r="CF73" s="36">
        <f t="shared" si="282"/>
        <v>25317.250000000004</v>
      </c>
      <c r="CG73" s="36">
        <f t="shared" si="296"/>
        <v>27700.050000000003</v>
      </c>
      <c r="CH73" s="36">
        <f t="shared" si="310"/>
        <v>30678.550000000003</v>
      </c>
      <c r="CI73" s="36">
        <f aca="true" t="shared" si="324" ref="CI73:CI81">$H$72*$L$72</f>
        <v>33657.05</v>
      </c>
      <c r="CJ73" s="36">
        <f>$H$73*$L$73</f>
        <v>37231.25</v>
      </c>
      <c r="CK73" s="36"/>
      <c r="CL73" s="47"/>
      <c r="CM73" s="36"/>
      <c r="CN73" s="36">
        <f t="shared" si="212"/>
        <v>27874.875000000004</v>
      </c>
      <c r="CO73" s="36">
        <f t="shared" si="227"/>
        <v>32763.500000000004</v>
      </c>
      <c r="CP73" s="36">
        <f t="shared" si="228"/>
        <v>34550.600000000006</v>
      </c>
      <c r="CQ73" s="36">
        <f t="shared" si="255"/>
        <v>36337.700000000004</v>
      </c>
      <c r="CR73" s="36">
        <f t="shared" si="269"/>
        <v>38124.8</v>
      </c>
      <c r="CS73" s="36">
        <f t="shared" si="283"/>
        <v>40209.75</v>
      </c>
      <c r="CT73" s="36">
        <f t="shared" si="297"/>
        <v>42294.700000000004</v>
      </c>
      <c r="CU73" s="36">
        <f t="shared" si="311"/>
        <v>44379.65</v>
      </c>
      <c r="CV73" s="36">
        <f aca="true" t="shared" si="325" ref="CV73:CV81">$I$72*$L$72</f>
        <v>46762.450000000004</v>
      </c>
      <c r="CW73" s="36">
        <f>$I$73*$L$73</f>
        <v>49145.25000000001</v>
      </c>
      <c r="CX73" s="36"/>
      <c r="CY73" s="36"/>
      <c r="CZ73" s="36">
        <f t="shared" si="180"/>
        <v>10031005.250000002</v>
      </c>
      <c r="DA73" s="38">
        <f>CZ73*(1+$E$10)^-16</f>
        <v>4595319.082181226</v>
      </c>
      <c r="DB73" s="78">
        <f t="shared" si="213"/>
        <v>0</v>
      </c>
      <c r="DC73" s="36"/>
      <c r="DD73" s="36">
        <f t="shared" si="214"/>
        <v>90501</v>
      </c>
      <c r="DE73" s="36">
        <f t="shared" si="229"/>
        <v>0</v>
      </c>
      <c r="DF73" s="36">
        <f t="shared" si="242"/>
        <v>0</v>
      </c>
      <c r="DG73" s="36">
        <f t="shared" si="256"/>
        <v>0</v>
      </c>
      <c r="DH73" s="36">
        <f t="shared" si="270"/>
        <v>0</v>
      </c>
      <c r="DI73" s="36">
        <f t="shared" si="284"/>
        <v>0</v>
      </c>
      <c r="DJ73" s="36">
        <f t="shared" si="298"/>
        <v>0</v>
      </c>
      <c r="DK73" s="36">
        <f t="shared" si="312"/>
        <v>0</v>
      </c>
      <c r="DL73" s="36">
        <f aca="true" t="shared" si="326" ref="DL73:DL81">$C$72*$DB$72</f>
        <v>0</v>
      </c>
      <c r="DM73" s="36">
        <f>$C$73*$DB$73</f>
        <v>0</v>
      </c>
      <c r="DN73" s="36"/>
      <c r="DO73" s="47"/>
      <c r="DP73" s="36"/>
      <c r="DQ73" s="36">
        <f t="shared" si="198"/>
        <v>13268</v>
      </c>
      <c r="DR73" s="36">
        <f t="shared" si="215"/>
        <v>0</v>
      </c>
      <c r="DS73" s="36">
        <f t="shared" si="230"/>
        <v>0</v>
      </c>
      <c r="DT73" s="36">
        <f t="shared" si="243"/>
        <v>0</v>
      </c>
      <c r="DU73" s="36">
        <f t="shared" si="257"/>
        <v>0</v>
      </c>
      <c r="DV73" s="36">
        <f t="shared" si="271"/>
        <v>0</v>
      </c>
      <c r="DW73" s="36">
        <f t="shared" si="285"/>
        <v>0</v>
      </c>
      <c r="DX73" s="36">
        <f t="shared" si="299"/>
        <v>0</v>
      </c>
      <c r="DY73" s="36">
        <f t="shared" si="313"/>
        <v>0</v>
      </c>
      <c r="DZ73" s="36">
        <f aca="true" t="shared" si="327" ref="DZ73:DZ82">$D$35*$DB$35</f>
        <v>0</v>
      </c>
      <c r="EA73" s="36"/>
      <c r="EB73" s="47"/>
      <c r="EC73" s="36"/>
      <c r="ED73" s="36">
        <f t="shared" si="199"/>
        <v>151833</v>
      </c>
      <c r="EE73" s="36">
        <f t="shared" si="216"/>
        <v>0</v>
      </c>
      <c r="EF73" s="36">
        <f t="shared" si="231"/>
        <v>0</v>
      </c>
      <c r="EG73" s="36">
        <f t="shared" si="244"/>
        <v>0</v>
      </c>
      <c r="EH73" s="36">
        <f t="shared" si="258"/>
        <v>0</v>
      </c>
      <c r="EI73" s="36">
        <f t="shared" si="272"/>
        <v>0</v>
      </c>
      <c r="EJ73" s="36">
        <f t="shared" si="286"/>
        <v>0</v>
      </c>
      <c r="EK73" s="36">
        <f t="shared" si="300"/>
        <v>0</v>
      </c>
      <c r="EL73" s="36">
        <f t="shared" si="314"/>
        <v>0</v>
      </c>
      <c r="EM73" s="36">
        <f aca="true" t="shared" si="328" ref="EM73:EM82">$E$35*$DB$35</f>
        <v>0</v>
      </c>
      <c r="EN73" s="36"/>
      <c r="EO73" s="47"/>
      <c r="EP73" s="36"/>
      <c r="EQ73" s="36">
        <f t="shared" si="200"/>
        <v>50611</v>
      </c>
      <c r="ER73" s="36">
        <f t="shared" si="217"/>
        <v>0</v>
      </c>
      <c r="ES73" s="36">
        <f t="shared" si="232"/>
        <v>0</v>
      </c>
      <c r="ET73" s="36">
        <f t="shared" si="245"/>
        <v>0</v>
      </c>
      <c r="EU73" s="36">
        <f t="shared" si="259"/>
        <v>0</v>
      </c>
      <c r="EV73" s="36">
        <f t="shared" si="273"/>
        <v>0</v>
      </c>
      <c r="EW73" s="36">
        <f t="shared" si="287"/>
        <v>0</v>
      </c>
      <c r="EX73" s="36">
        <f t="shared" si="301"/>
        <v>0</v>
      </c>
      <c r="EY73" s="36">
        <f t="shared" si="315"/>
        <v>0</v>
      </c>
      <c r="EZ73" s="36">
        <f aca="true" t="shared" si="329" ref="EZ73:EZ82">$F$35*$DB$35</f>
        <v>0</v>
      </c>
      <c r="FA73" s="36"/>
      <c r="FB73" s="47"/>
      <c r="FC73" s="36"/>
      <c r="FD73" s="36">
        <f t="shared" si="201"/>
        <v>15132</v>
      </c>
      <c r="FE73" s="36">
        <f t="shared" si="218"/>
        <v>0</v>
      </c>
      <c r="FF73" s="36">
        <f t="shared" si="233"/>
        <v>0</v>
      </c>
      <c r="FG73" s="36">
        <f t="shared" si="246"/>
        <v>0</v>
      </c>
      <c r="FH73" s="36">
        <f t="shared" si="260"/>
        <v>0</v>
      </c>
      <c r="FI73" s="36">
        <f t="shared" si="274"/>
        <v>0</v>
      </c>
      <c r="FJ73" s="36">
        <f t="shared" si="288"/>
        <v>0</v>
      </c>
      <c r="FK73" s="36">
        <f t="shared" si="302"/>
        <v>0</v>
      </c>
      <c r="FL73" s="36">
        <f t="shared" si="316"/>
        <v>0</v>
      </c>
      <c r="FM73" s="36">
        <f aca="true" t="shared" si="330" ref="FM73:FM82">$G$35*$K$59</f>
        <v>0</v>
      </c>
      <c r="FN73" s="36"/>
      <c r="FO73" s="47"/>
      <c r="FP73" s="36"/>
      <c r="FQ73" s="36">
        <f t="shared" si="202"/>
        <v>5044</v>
      </c>
      <c r="FR73" s="36">
        <f t="shared" si="219"/>
        <v>0</v>
      </c>
      <c r="FS73" s="36">
        <f t="shared" si="234"/>
        <v>0</v>
      </c>
      <c r="FT73" s="36">
        <f t="shared" si="247"/>
        <v>0</v>
      </c>
      <c r="FU73" s="36">
        <f t="shared" si="261"/>
        <v>0</v>
      </c>
      <c r="FV73" s="36">
        <f t="shared" si="275"/>
        <v>0</v>
      </c>
      <c r="FW73" s="36">
        <f t="shared" si="289"/>
        <v>0</v>
      </c>
      <c r="FX73" s="36">
        <f t="shared" si="303"/>
        <v>0</v>
      </c>
      <c r="FY73" s="36">
        <f t="shared" si="317"/>
        <v>0</v>
      </c>
      <c r="FZ73" s="36">
        <f aca="true" t="shared" si="331" ref="FZ73:FZ82">$H$35*$K$59</f>
        <v>0</v>
      </c>
      <c r="GA73" s="36"/>
      <c r="GB73" s="47"/>
      <c r="GC73" s="36"/>
      <c r="GD73" s="36">
        <f t="shared" si="203"/>
        <v>11235</v>
      </c>
      <c r="GE73" s="36">
        <f t="shared" si="220"/>
        <v>0</v>
      </c>
      <c r="GF73" s="36">
        <f t="shared" si="235"/>
        <v>0</v>
      </c>
      <c r="GG73" s="36">
        <f t="shared" si="248"/>
        <v>0</v>
      </c>
      <c r="GH73" s="36">
        <f t="shared" si="262"/>
        <v>0</v>
      </c>
      <c r="GI73" s="36">
        <f t="shared" si="276"/>
        <v>0</v>
      </c>
      <c r="GJ73" s="36">
        <f t="shared" si="290"/>
        <v>0</v>
      </c>
      <c r="GK73" s="36">
        <f t="shared" si="304"/>
        <v>0</v>
      </c>
      <c r="GL73" s="36">
        <f t="shared" si="318"/>
        <v>0</v>
      </c>
      <c r="GM73" s="36">
        <f aca="true" t="shared" si="332" ref="GM73:GM82">$I$35*$DB$35</f>
        <v>0</v>
      </c>
      <c r="GN73" s="36"/>
      <c r="GO73" s="47"/>
      <c r="GP73" s="36">
        <f>SUM(DC73:GO73)</f>
        <v>337624</v>
      </c>
      <c r="GQ73" s="38">
        <f>GP73*(1+$E$11)^-16</f>
        <v>154669.4445008245</v>
      </c>
      <c r="GR73" s="38">
        <f t="shared" si="204"/>
        <v>10368629.250000002</v>
      </c>
      <c r="GS73" s="52">
        <f t="shared" si="187"/>
        <v>4749988.526682051</v>
      </c>
      <c r="GT73" s="9"/>
    </row>
    <row r="74" spans="1:202" ht="15.75">
      <c r="A74" s="9">
        <v>2012</v>
      </c>
      <c r="B74" s="49">
        <v>2019</v>
      </c>
      <c r="C74" s="31">
        <f t="shared" si="179"/>
        <v>486</v>
      </c>
      <c r="D74" s="31">
        <f t="shared" si="179"/>
        <v>167</v>
      </c>
      <c r="E74" s="31">
        <f t="shared" si="179"/>
        <v>2356</v>
      </c>
      <c r="F74" s="31">
        <f t="shared" si="179"/>
        <v>785</v>
      </c>
      <c r="G74" s="31">
        <f t="shared" si="179"/>
        <v>412</v>
      </c>
      <c r="H74" s="31">
        <f t="shared" si="179"/>
        <v>137</v>
      </c>
      <c r="I74" s="31">
        <f t="shared" si="179"/>
        <v>174</v>
      </c>
      <c r="J74" s="63">
        <f t="shared" si="188"/>
        <v>3864</v>
      </c>
      <c r="K74" s="53">
        <f t="shared" si="189"/>
        <v>4517</v>
      </c>
      <c r="L74" s="36">
        <f t="shared" si="205"/>
        <v>297.85</v>
      </c>
      <c r="M74" s="36"/>
      <c r="N74" s="36"/>
      <c r="O74" s="36">
        <f t="shared" si="221"/>
        <v>97099.1</v>
      </c>
      <c r="P74" s="36">
        <f t="shared" si="236"/>
        <v>101269.00000000001</v>
      </c>
      <c r="Q74" s="36">
        <f t="shared" si="249"/>
        <v>106034.6</v>
      </c>
      <c r="R74" s="36">
        <f t="shared" si="263"/>
        <v>110800.20000000001</v>
      </c>
      <c r="S74" s="36">
        <f t="shared" si="277"/>
        <v>115863.65000000001</v>
      </c>
      <c r="T74" s="36">
        <f t="shared" si="291"/>
        <v>121224.95000000001</v>
      </c>
      <c r="U74" s="36">
        <f t="shared" si="305"/>
        <v>126884.1</v>
      </c>
      <c r="V74" s="36">
        <f t="shared" si="319"/>
        <v>132543.25</v>
      </c>
      <c r="W74" s="36">
        <f aca="true" t="shared" si="333" ref="W74:W82">$C$73*$L$73</f>
        <v>138500.25</v>
      </c>
      <c r="X74" s="36">
        <f>$C$74*$L$74</f>
        <v>144755.1</v>
      </c>
      <c r="Y74" s="47"/>
      <c r="Z74" s="36"/>
      <c r="AA74" s="36"/>
      <c r="AB74" s="36">
        <f t="shared" si="222"/>
        <v>38124.8</v>
      </c>
      <c r="AC74" s="36">
        <f t="shared" si="237"/>
        <v>39316.200000000004</v>
      </c>
      <c r="AD74" s="36">
        <f t="shared" si="250"/>
        <v>40507.600000000006</v>
      </c>
      <c r="AE74" s="36">
        <f t="shared" si="264"/>
        <v>41699</v>
      </c>
      <c r="AF74" s="36">
        <f t="shared" si="278"/>
        <v>42890.4</v>
      </c>
      <c r="AG74" s="36">
        <f t="shared" si="292"/>
        <v>44081.8</v>
      </c>
      <c r="AH74" s="36">
        <f t="shared" si="306"/>
        <v>45571.05</v>
      </c>
      <c r="AI74" s="36">
        <f t="shared" si="320"/>
        <v>46762.450000000004</v>
      </c>
      <c r="AJ74" s="36">
        <f aca="true" t="shared" si="334" ref="AJ74:AJ82">$D$73*$L$73</f>
        <v>48251.700000000004</v>
      </c>
      <c r="AK74" s="36">
        <f>$D$74*$L$74</f>
        <v>49740.950000000004</v>
      </c>
      <c r="AL74" s="47"/>
      <c r="AM74" s="36"/>
      <c r="AN74" s="36"/>
      <c r="AO74" s="36">
        <f t="shared" si="223"/>
        <v>444690.05000000005</v>
      </c>
      <c r="AP74" s="36">
        <f t="shared" si="238"/>
        <v>467922.35000000003</v>
      </c>
      <c r="AQ74" s="36">
        <f t="shared" si="251"/>
        <v>492048.2</v>
      </c>
      <c r="AR74" s="36">
        <f t="shared" si="265"/>
        <v>517663.30000000005</v>
      </c>
      <c r="AS74" s="36">
        <f t="shared" si="279"/>
        <v>544767.65</v>
      </c>
      <c r="AT74" s="36">
        <f t="shared" si="293"/>
        <v>573063.4</v>
      </c>
      <c r="AU74" s="36">
        <f t="shared" si="307"/>
        <v>602848.4</v>
      </c>
      <c r="AV74" s="36">
        <f t="shared" si="321"/>
        <v>634122.65</v>
      </c>
      <c r="AW74" s="36">
        <f aca="true" t="shared" si="335" ref="AW74:AW82">$E$73*$L$73</f>
        <v>667184</v>
      </c>
      <c r="AX74" s="36">
        <f>$E$74*$L$74</f>
        <v>701734.6000000001</v>
      </c>
      <c r="AY74" s="47"/>
      <c r="AZ74" s="36"/>
      <c r="BA74" s="36"/>
      <c r="BB74" s="36">
        <f t="shared" si="224"/>
        <v>148329.30000000002</v>
      </c>
      <c r="BC74" s="36">
        <f t="shared" si="239"/>
        <v>156073.40000000002</v>
      </c>
      <c r="BD74" s="36">
        <f t="shared" si="252"/>
        <v>164115.35</v>
      </c>
      <c r="BE74" s="36">
        <f t="shared" si="266"/>
        <v>172455.15000000002</v>
      </c>
      <c r="BF74" s="36">
        <f t="shared" si="280"/>
        <v>181688.5</v>
      </c>
      <c r="BG74" s="36">
        <f t="shared" si="294"/>
        <v>190921.85</v>
      </c>
      <c r="BH74" s="36">
        <f t="shared" si="308"/>
        <v>201048.75000000003</v>
      </c>
      <c r="BI74" s="36">
        <f t="shared" si="322"/>
        <v>211473.50000000003</v>
      </c>
      <c r="BJ74" s="36">
        <f aca="true" t="shared" si="336" ref="BJ74:BJ82">$F$73*$L$73</f>
        <v>222493.95</v>
      </c>
      <c r="BK74" s="36">
        <f>$F$74*$L$74</f>
        <v>233812.25000000003</v>
      </c>
      <c r="BL74" s="47"/>
      <c r="BM74" s="36"/>
      <c r="BN74" s="36"/>
      <c r="BO74" s="36">
        <f t="shared" si="225"/>
        <v>51230.200000000004</v>
      </c>
      <c r="BP74" s="36">
        <f t="shared" si="240"/>
        <v>56293.65</v>
      </c>
      <c r="BQ74" s="36">
        <f t="shared" si="253"/>
        <v>62250.65</v>
      </c>
      <c r="BR74" s="36">
        <f t="shared" si="267"/>
        <v>68505.5</v>
      </c>
      <c r="BS74" s="36">
        <f t="shared" si="281"/>
        <v>75653.90000000001</v>
      </c>
      <c r="BT74" s="36">
        <f t="shared" si="295"/>
        <v>83100.15000000001</v>
      </c>
      <c r="BU74" s="36">
        <f t="shared" si="309"/>
        <v>91737.8</v>
      </c>
      <c r="BV74" s="36">
        <f t="shared" si="323"/>
        <v>100971.15000000001</v>
      </c>
      <c r="BW74" s="36">
        <f aca="true" t="shared" si="337" ref="BW74:BW82">$G$73*$L$73</f>
        <v>111395.90000000001</v>
      </c>
      <c r="BX74" s="36">
        <f>$G$74*$L$74</f>
        <v>122714.20000000001</v>
      </c>
      <c r="BY74" s="47"/>
      <c r="BZ74" s="36"/>
      <c r="CA74" s="36"/>
      <c r="CB74" s="36">
        <f t="shared" si="226"/>
        <v>16977.45</v>
      </c>
      <c r="CC74" s="36">
        <f t="shared" si="241"/>
        <v>18764.550000000003</v>
      </c>
      <c r="CD74" s="36">
        <f t="shared" si="254"/>
        <v>20849.5</v>
      </c>
      <c r="CE74" s="36">
        <f t="shared" si="268"/>
        <v>22934.45</v>
      </c>
      <c r="CF74" s="36">
        <f t="shared" si="282"/>
        <v>25317.250000000004</v>
      </c>
      <c r="CG74" s="36">
        <f t="shared" si="296"/>
        <v>27700.050000000003</v>
      </c>
      <c r="CH74" s="36">
        <f t="shared" si="310"/>
        <v>30678.550000000003</v>
      </c>
      <c r="CI74" s="36">
        <f t="shared" si="324"/>
        <v>33657.05</v>
      </c>
      <c r="CJ74" s="36">
        <f aca="true" t="shared" si="338" ref="CJ74:CJ82">$H$73*$L$73</f>
        <v>37231.25</v>
      </c>
      <c r="CK74" s="36">
        <f>$H$74*$L$74</f>
        <v>40805.450000000004</v>
      </c>
      <c r="CL74" s="47"/>
      <c r="CM74" s="36"/>
      <c r="CN74" s="36"/>
      <c r="CO74" s="36">
        <f t="shared" si="227"/>
        <v>32763.500000000004</v>
      </c>
      <c r="CP74" s="36">
        <f t="shared" si="228"/>
        <v>34550.600000000006</v>
      </c>
      <c r="CQ74" s="36">
        <f t="shared" si="255"/>
        <v>36337.700000000004</v>
      </c>
      <c r="CR74" s="36">
        <f t="shared" si="269"/>
        <v>38124.8</v>
      </c>
      <c r="CS74" s="36">
        <f t="shared" si="283"/>
        <v>40209.75</v>
      </c>
      <c r="CT74" s="36">
        <f t="shared" si="297"/>
        <v>42294.700000000004</v>
      </c>
      <c r="CU74" s="36">
        <f t="shared" si="311"/>
        <v>44379.65</v>
      </c>
      <c r="CV74" s="36">
        <f t="shared" si="325"/>
        <v>46762.450000000004</v>
      </c>
      <c r="CW74" s="36">
        <f aca="true" t="shared" si="339" ref="CW74:CW82">$I$73*$L$73</f>
        <v>49145.25000000001</v>
      </c>
      <c r="CX74" s="36">
        <f>$I$74*$L$74</f>
        <v>51825.9</v>
      </c>
      <c r="CY74" s="36"/>
      <c r="CZ74" s="36">
        <f t="shared" si="180"/>
        <v>10675539.700000003</v>
      </c>
      <c r="DA74" s="38">
        <f>CZ74*(1+$E$10)^-17</f>
        <v>4657702.609568207</v>
      </c>
      <c r="DB74" s="78">
        <f t="shared" si="213"/>
        <v>0</v>
      </c>
      <c r="DC74" s="36"/>
      <c r="DD74" s="36"/>
      <c r="DE74" s="36">
        <f t="shared" si="229"/>
        <v>0</v>
      </c>
      <c r="DF74" s="36">
        <f t="shared" si="242"/>
        <v>0</v>
      </c>
      <c r="DG74" s="36">
        <f t="shared" si="256"/>
        <v>0</v>
      </c>
      <c r="DH74" s="36">
        <f t="shared" si="270"/>
        <v>0</v>
      </c>
      <c r="DI74" s="36">
        <f t="shared" si="284"/>
        <v>0</v>
      </c>
      <c r="DJ74" s="36">
        <f t="shared" si="298"/>
        <v>0</v>
      </c>
      <c r="DK74" s="36">
        <f t="shared" si="312"/>
        <v>0</v>
      </c>
      <c r="DL74" s="36">
        <f t="shared" si="326"/>
        <v>0</v>
      </c>
      <c r="DM74" s="36">
        <f aca="true" t="shared" si="340" ref="DM74:DM82">$C$73*$DB$73</f>
        <v>0</v>
      </c>
      <c r="DN74" s="36">
        <f>$C$74*$DB$74</f>
        <v>0</v>
      </c>
      <c r="DO74" s="47"/>
      <c r="DP74" s="36"/>
      <c r="DQ74" s="36"/>
      <c r="DR74" s="36">
        <f t="shared" si="215"/>
        <v>0</v>
      </c>
      <c r="DS74" s="36">
        <f t="shared" si="230"/>
        <v>0</v>
      </c>
      <c r="DT74" s="36">
        <f t="shared" si="243"/>
        <v>0</v>
      </c>
      <c r="DU74" s="36">
        <f t="shared" si="257"/>
        <v>0</v>
      </c>
      <c r="DV74" s="36">
        <f t="shared" si="271"/>
        <v>0</v>
      </c>
      <c r="DW74" s="36">
        <f t="shared" si="285"/>
        <v>0</v>
      </c>
      <c r="DX74" s="36">
        <f t="shared" si="299"/>
        <v>0</v>
      </c>
      <c r="DY74" s="36">
        <f t="shared" si="313"/>
        <v>0</v>
      </c>
      <c r="DZ74" s="36">
        <f t="shared" si="327"/>
        <v>0</v>
      </c>
      <c r="EA74" s="36">
        <f aca="true" t="shared" si="341" ref="EA74:EA83">$D$36*$DB$36</f>
        <v>0</v>
      </c>
      <c r="EB74" s="47"/>
      <c r="EC74" s="36"/>
      <c r="ED74" s="36"/>
      <c r="EE74" s="36">
        <f t="shared" si="216"/>
        <v>0</v>
      </c>
      <c r="EF74" s="36">
        <f t="shared" si="231"/>
        <v>0</v>
      </c>
      <c r="EG74" s="36">
        <f t="shared" si="244"/>
        <v>0</v>
      </c>
      <c r="EH74" s="36">
        <f t="shared" si="258"/>
        <v>0</v>
      </c>
      <c r="EI74" s="36">
        <f t="shared" si="272"/>
        <v>0</v>
      </c>
      <c r="EJ74" s="36">
        <f t="shared" si="286"/>
        <v>0</v>
      </c>
      <c r="EK74" s="36">
        <f t="shared" si="300"/>
        <v>0</v>
      </c>
      <c r="EL74" s="36">
        <f t="shared" si="314"/>
        <v>0</v>
      </c>
      <c r="EM74" s="36">
        <f t="shared" si="328"/>
        <v>0</v>
      </c>
      <c r="EN74" s="36">
        <f aca="true" t="shared" si="342" ref="EN74:EN83">$E$36*$DB$36</f>
        <v>0</v>
      </c>
      <c r="EO74" s="47"/>
      <c r="EP74" s="36"/>
      <c r="EQ74" s="36"/>
      <c r="ER74" s="36">
        <f t="shared" si="217"/>
        <v>0</v>
      </c>
      <c r="ES74" s="36">
        <f t="shared" si="232"/>
        <v>0</v>
      </c>
      <c r="ET74" s="36">
        <f t="shared" si="245"/>
        <v>0</v>
      </c>
      <c r="EU74" s="36">
        <f t="shared" si="259"/>
        <v>0</v>
      </c>
      <c r="EV74" s="36">
        <f t="shared" si="273"/>
        <v>0</v>
      </c>
      <c r="EW74" s="36">
        <f t="shared" si="287"/>
        <v>0</v>
      </c>
      <c r="EX74" s="36">
        <f t="shared" si="301"/>
        <v>0</v>
      </c>
      <c r="EY74" s="36">
        <f t="shared" si="315"/>
        <v>0</v>
      </c>
      <c r="EZ74" s="36">
        <f t="shared" si="329"/>
        <v>0</v>
      </c>
      <c r="FA74" s="36">
        <f aca="true" t="shared" si="343" ref="FA74:FA83">$F$36*$DB$36</f>
        <v>0</v>
      </c>
      <c r="FB74" s="47"/>
      <c r="FC74" s="36"/>
      <c r="FD74" s="36"/>
      <c r="FE74" s="36">
        <f t="shared" si="218"/>
        <v>0</v>
      </c>
      <c r="FF74" s="36">
        <f t="shared" si="233"/>
        <v>0</v>
      </c>
      <c r="FG74" s="36">
        <f t="shared" si="246"/>
        <v>0</v>
      </c>
      <c r="FH74" s="36">
        <f t="shared" si="260"/>
        <v>0</v>
      </c>
      <c r="FI74" s="36">
        <f t="shared" si="274"/>
        <v>0</v>
      </c>
      <c r="FJ74" s="36">
        <f t="shared" si="288"/>
        <v>0</v>
      </c>
      <c r="FK74" s="36">
        <f t="shared" si="302"/>
        <v>0</v>
      </c>
      <c r="FL74" s="36">
        <f t="shared" si="316"/>
        <v>0</v>
      </c>
      <c r="FM74" s="36">
        <f t="shared" si="330"/>
        <v>0</v>
      </c>
      <c r="FN74" s="36">
        <f aca="true" t="shared" si="344" ref="FN74:FN83">$G$36*$K$59</f>
        <v>0</v>
      </c>
      <c r="FO74" s="47"/>
      <c r="FP74" s="36"/>
      <c r="FQ74" s="36"/>
      <c r="FR74" s="36">
        <f t="shared" si="219"/>
        <v>0</v>
      </c>
      <c r="FS74" s="36">
        <f t="shared" si="234"/>
        <v>0</v>
      </c>
      <c r="FT74" s="36">
        <f t="shared" si="247"/>
        <v>0</v>
      </c>
      <c r="FU74" s="36">
        <f t="shared" si="261"/>
        <v>0</v>
      </c>
      <c r="FV74" s="36">
        <f t="shared" si="275"/>
        <v>0</v>
      </c>
      <c r="FW74" s="36">
        <f t="shared" si="289"/>
        <v>0</v>
      </c>
      <c r="FX74" s="36">
        <f t="shared" si="303"/>
        <v>0</v>
      </c>
      <c r="FY74" s="36">
        <f t="shared" si="317"/>
        <v>0</v>
      </c>
      <c r="FZ74" s="36">
        <f t="shared" si="331"/>
        <v>0</v>
      </c>
      <c r="GA74" s="36">
        <f aca="true" t="shared" si="345" ref="GA74:GA83">$H$36*$K$59</f>
        <v>0</v>
      </c>
      <c r="GB74" s="47"/>
      <c r="GC74" s="36"/>
      <c r="GD74" s="36"/>
      <c r="GE74" s="36">
        <f t="shared" si="220"/>
        <v>0</v>
      </c>
      <c r="GF74" s="36">
        <f t="shared" si="235"/>
        <v>0</v>
      </c>
      <c r="GG74" s="36">
        <f t="shared" si="248"/>
        <v>0</v>
      </c>
      <c r="GH74" s="36">
        <f t="shared" si="262"/>
        <v>0</v>
      </c>
      <c r="GI74" s="36">
        <f t="shared" si="276"/>
        <v>0</v>
      </c>
      <c r="GJ74" s="36">
        <f t="shared" si="290"/>
        <v>0</v>
      </c>
      <c r="GK74" s="36">
        <f t="shared" si="304"/>
        <v>0</v>
      </c>
      <c r="GL74" s="36">
        <f t="shared" si="318"/>
        <v>0</v>
      </c>
      <c r="GM74" s="36">
        <f t="shared" si="332"/>
        <v>0</v>
      </c>
      <c r="GN74" s="36">
        <f aca="true" t="shared" si="346" ref="GN74:GN83">$I$36*$DB$36</f>
        <v>0</v>
      </c>
      <c r="GO74" s="47"/>
      <c r="GP74" s="36">
        <f>SUM(DC74:GO74)</f>
        <v>0</v>
      </c>
      <c r="GQ74" s="38">
        <f>GP74*(1+$E$11)^-17</f>
        <v>0</v>
      </c>
      <c r="GR74" s="38">
        <f t="shared" si="204"/>
        <v>10675539.700000003</v>
      </c>
      <c r="GS74" s="52">
        <f t="shared" si="187"/>
        <v>4657702.609568207</v>
      </c>
      <c r="GT74" s="9"/>
    </row>
    <row r="75" spans="1:202" ht="15.75" customHeight="1">
      <c r="A75" s="9">
        <v>2013</v>
      </c>
      <c r="B75" s="49">
        <v>2020</v>
      </c>
      <c r="C75" s="31">
        <f>C37</f>
        <v>509</v>
      </c>
      <c r="D75" s="31">
        <f>D37</f>
        <v>172</v>
      </c>
      <c r="E75" s="79" t="s">
        <v>40</v>
      </c>
      <c r="F75" s="79" t="s">
        <v>40</v>
      </c>
      <c r="G75" s="79" t="s">
        <v>40</v>
      </c>
      <c r="H75" s="79" t="s">
        <v>40</v>
      </c>
      <c r="I75" s="79" t="s">
        <v>40</v>
      </c>
      <c r="J75" s="79" t="s">
        <v>40</v>
      </c>
      <c r="K75" s="53">
        <f t="shared" si="189"/>
        <v>681</v>
      </c>
      <c r="L75" s="36">
        <f t="shared" si="205"/>
        <v>297.85</v>
      </c>
      <c r="M75" s="36"/>
      <c r="N75" s="36"/>
      <c r="O75" s="36"/>
      <c r="P75" s="36">
        <f t="shared" si="236"/>
        <v>101269.00000000001</v>
      </c>
      <c r="Q75" s="36">
        <f t="shared" si="249"/>
        <v>106034.6</v>
      </c>
      <c r="R75" s="36">
        <f t="shared" si="263"/>
        <v>110800.20000000001</v>
      </c>
      <c r="S75" s="36">
        <f t="shared" si="277"/>
        <v>115863.65000000001</v>
      </c>
      <c r="T75" s="36">
        <f t="shared" si="291"/>
        <v>121224.95000000001</v>
      </c>
      <c r="U75" s="36">
        <f t="shared" si="305"/>
        <v>126884.1</v>
      </c>
      <c r="V75" s="36">
        <f t="shared" si="319"/>
        <v>132543.25</v>
      </c>
      <c r="W75" s="36">
        <f t="shared" si="333"/>
        <v>138500.25</v>
      </c>
      <c r="X75" s="36">
        <f aca="true" t="shared" si="347" ref="X75:X83">$C$74*$L$74</f>
        <v>144755.1</v>
      </c>
      <c r="Y75" s="47">
        <f>$C$75*$L$75</f>
        <v>151605.65000000002</v>
      </c>
      <c r="Z75" s="36"/>
      <c r="AA75" s="36"/>
      <c r="AB75" s="36"/>
      <c r="AC75" s="36">
        <f t="shared" si="237"/>
        <v>39316.200000000004</v>
      </c>
      <c r="AD75" s="36">
        <f t="shared" si="250"/>
        <v>40507.600000000006</v>
      </c>
      <c r="AE75" s="36">
        <f t="shared" si="264"/>
        <v>41699</v>
      </c>
      <c r="AF75" s="36">
        <f t="shared" si="278"/>
        <v>42890.4</v>
      </c>
      <c r="AG75" s="36">
        <f t="shared" si="292"/>
        <v>44081.8</v>
      </c>
      <c r="AH75" s="36">
        <f t="shared" si="306"/>
        <v>45571.05</v>
      </c>
      <c r="AI75" s="36">
        <f t="shared" si="320"/>
        <v>46762.450000000004</v>
      </c>
      <c r="AJ75" s="36">
        <f t="shared" si="334"/>
        <v>48251.700000000004</v>
      </c>
      <c r="AK75" s="36">
        <f aca="true" t="shared" si="348" ref="AK75:AK83">$D$74*$L$74</f>
        <v>49740.950000000004</v>
      </c>
      <c r="AL75" s="47">
        <f>$D$75*$L$75</f>
        <v>51230.200000000004</v>
      </c>
      <c r="AM75" s="36"/>
      <c r="AN75" s="36"/>
      <c r="AO75" s="36"/>
      <c r="AP75" s="36">
        <f t="shared" si="238"/>
        <v>467922.35000000003</v>
      </c>
      <c r="AQ75" s="36">
        <f t="shared" si="251"/>
        <v>492048.2</v>
      </c>
      <c r="AR75" s="36">
        <f t="shared" si="265"/>
        <v>517663.30000000005</v>
      </c>
      <c r="AS75" s="36">
        <f t="shared" si="279"/>
        <v>544767.65</v>
      </c>
      <c r="AT75" s="36">
        <f t="shared" si="293"/>
        <v>573063.4</v>
      </c>
      <c r="AU75" s="36">
        <f t="shared" si="307"/>
        <v>602848.4</v>
      </c>
      <c r="AV75" s="36">
        <f t="shared" si="321"/>
        <v>634122.65</v>
      </c>
      <c r="AW75" s="36">
        <f t="shared" si="335"/>
        <v>667184</v>
      </c>
      <c r="AX75" s="36">
        <f aca="true" t="shared" si="349" ref="AX75:AX83">$E$74*$L$74</f>
        <v>701734.6000000001</v>
      </c>
      <c r="AY75" s="47">
        <v>0</v>
      </c>
      <c r="AZ75" s="36"/>
      <c r="BA75" s="36"/>
      <c r="BB75" s="36"/>
      <c r="BC75" s="36">
        <f t="shared" si="239"/>
        <v>156073.40000000002</v>
      </c>
      <c r="BD75" s="36">
        <f t="shared" si="252"/>
        <v>164115.35</v>
      </c>
      <c r="BE75" s="36">
        <f t="shared" si="266"/>
        <v>172455.15000000002</v>
      </c>
      <c r="BF75" s="36">
        <f t="shared" si="280"/>
        <v>181688.5</v>
      </c>
      <c r="BG75" s="36">
        <f t="shared" si="294"/>
        <v>190921.85</v>
      </c>
      <c r="BH75" s="36">
        <f t="shared" si="308"/>
        <v>201048.75000000003</v>
      </c>
      <c r="BI75" s="36">
        <f t="shared" si="322"/>
        <v>211473.50000000003</v>
      </c>
      <c r="BJ75" s="36">
        <f t="shared" si="336"/>
        <v>222493.95</v>
      </c>
      <c r="BK75" s="36">
        <f aca="true" t="shared" si="350" ref="BK75:BK83">$F$74*$L$74</f>
        <v>233812.25000000003</v>
      </c>
      <c r="BL75" s="47">
        <v>0</v>
      </c>
      <c r="BM75" s="36"/>
      <c r="BN75" s="36"/>
      <c r="BO75" s="36"/>
      <c r="BP75" s="36">
        <f t="shared" si="240"/>
        <v>56293.65</v>
      </c>
      <c r="BQ75" s="36">
        <f t="shared" si="253"/>
        <v>62250.65</v>
      </c>
      <c r="BR75" s="36">
        <f t="shared" si="267"/>
        <v>68505.5</v>
      </c>
      <c r="BS75" s="36">
        <f t="shared" si="281"/>
        <v>75653.90000000001</v>
      </c>
      <c r="BT75" s="36">
        <f t="shared" si="295"/>
        <v>83100.15000000001</v>
      </c>
      <c r="BU75" s="36">
        <f t="shared" si="309"/>
        <v>91737.8</v>
      </c>
      <c r="BV75" s="36">
        <f t="shared" si="323"/>
        <v>100971.15000000001</v>
      </c>
      <c r="BW75" s="36">
        <f t="shared" si="337"/>
        <v>111395.90000000001</v>
      </c>
      <c r="BX75" s="36">
        <f aca="true" t="shared" si="351" ref="BX75:BX83">$G$74*$L$74</f>
        <v>122714.20000000001</v>
      </c>
      <c r="BY75" s="47">
        <v>0</v>
      </c>
      <c r="BZ75" s="36"/>
      <c r="CA75" s="36"/>
      <c r="CB75" s="36"/>
      <c r="CC75" s="36">
        <f t="shared" si="241"/>
        <v>18764.550000000003</v>
      </c>
      <c r="CD75" s="36">
        <f t="shared" si="254"/>
        <v>20849.5</v>
      </c>
      <c r="CE75" s="36">
        <f t="shared" si="268"/>
        <v>22934.45</v>
      </c>
      <c r="CF75" s="36">
        <f t="shared" si="282"/>
        <v>25317.250000000004</v>
      </c>
      <c r="CG75" s="36">
        <f t="shared" si="296"/>
        <v>27700.050000000003</v>
      </c>
      <c r="CH75" s="36">
        <f t="shared" si="310"/>
        <v>30678.550000000003</v>
      </c>
      <c r="CI75" s="36">
        <f t="shared" si="324"/>
        <v>33657.05</v>
      </c>
      <c r="CJ75" s="36">
        <f t="shared" si="338"/>
        <v>37231.25</v>
      </c>
      <c r="CK75" s="36">
        <f aca="true" t="shared" si="352" ref="CK75:CK83">$H$74*$L$74</f>
        <v>40805.450000000004</v>
      </c>
      <c r="CL75" s="47">
        <v>0</v>
      </c>
      <c r="CM75" s="36"/>
      <c r="CN75" s="36"/>
      <c r="CO75" s="36"/>
      <c r="CP75" s="36">
        <f t="shared" si="228"/>
        <v>34550.600000000006</v>
      </c>
      <c r="CQ75" s="36">
        <f t="shared" si="255"/>
        <v>36337.700000000004</v>
      </c>
      <c r="CR75" s="36">
        <f t="shared" si="269"/>
        <v>38124.8</v>
      </c>
      <c r="CS75" s="36">
        <f t="shared" si="283"/>
        <v>40209.75</v>
      </c>
      <c r="CT75" s="36">
        <f t="shared" si="297"/>
        <v>42294.700000000004</v>
      </c>
      <c r="CU75" s="36">
        <f t="shared" si="311"/>
        <v>44379.65</v>
      </c>
      <c r="CV75" s="36">
        <f t="shared" si="325"/>
        <v>46762.450000000004</v>
      </c>
      <c r="CW75" s="36">
        <f t="shared" si="339"/>
        <v>49145.25000000001</v>
      </c>
      <c r="CX75" s="36">
        <f aca="true" t="shared" si="353" ref="CX75:CX83">$I$74*$L$74</f>
        <v>51825.9</v>
      </c>
      <c r="CY75" s="36">
        <v>0</v>
      </c>
      <c r="CZ75" s="36">
        <f t="shared" si="180"/>
        <v>10049161.150000002</v>
      </c>
      <c r="DA75" s="38">
        <f>CZ75*(1+$E$10)^-18</f>
        <v>4175634.021916871</v>
      </c>
      <c r="DB75" s="78">
        <f t="shared" si="213"/>
        <v>0</v>
      </c>
      <c r="DC75" s="36"/>
      <c r="DD75" s="36"/>
      <c r="DE75" s="36"/>
      <c r="DF75" s="36">
        <f t="shared" si="242"/>
        <v>0</v>
      </c>
      <c r="DG75" s="36">
        <f t="shared" si="256"/>
        <v>0</v>
      </c>
      <c r="DH75" s="36">
        <f t="shared" si="270"/>
        <v>0</v>
      </c>
      <c r="DI75" s="36">
        <f t="shared" si="284"/>
        <v>0</v>
      </c>
      <c r="DJ75" s="36">
        <f t="shared" si="298"/>
        <v>0</v>
      </c>
      <c r="DK75" s="36">
        <f t="shared" si="312"/>
        <v>0</v>
      </c>
      <c r="DL75" s="36">
        <f t="shared" si="326"/>
        <v>0</v>
      </c>
      <c r="DM75" s="36">
        <f t="shared" si="340"/>
        <v>0</v>
      </c>
      <c r="DN75" s="36">
        <f aca="true" t="shared" si="354" ref="DN75:DN83">$C$74*$DB$74</f>
        <v>0</v>
      </c>
      <c r="DO75" s="47">
        <f aca="true" t="shared" si="355" ref="DO75:DO84">$C$37*$DB$37</f>
        <v>0</v>
      </c>
      <c r="DP75" s="36"/>
      <c r="DQ75" s="36"/>
      <c r="DR75" s="36"/>
      <c r="DS75" s="36">
        <f t="shared" si="230"/>
        <v>0</v>
      </c>
      <c r="DT75" s="36">
        <f t="shared" si="243"/>
        <v>0</v>
      </c>
      <c r="DU75" s="36">
        <f t="shared" si="257"/>
        <v>0</v>
      </c>
      <c r="DV75" s="36">
        <f t="shared" si="271"/>
        <v>0</v>
      </c>
      <c r="DW75" s="36">
        <f t="shared" si="285"/>
        <v>0</v>
      </c>
      <c r="DX75" s="36">
        <f t="shared" si="299"/>
        <v>0</v>
      </c>
      <c r="DY75" s="36">
        <f t="shared" si="313"/>
        <v>0</v>
      </c>
      <c r="DZ75" s="36">
        <f t="shared" si="327"/>
        <v>0</v>
      </c>
      <c r="EA75" s="36">
        <f t="shared" si="341"/>
        <v>0</v>
      </c>
      <c r="EB75" s="47">
        <f aca="true" t="shared" si="356" ref="EB75:EB84">$D$37*$DB$37</f>
        <v>0</v>
      </c>
      <c r="EC75" s="36"/>
      <c r="ED75" s="36"/>
      <c r="EE75" s="36"/>
      <c r="EF75" s="36">
        <f t="shared" si="231"/>
        <v>0</v>
      </c>
      <c r="EG75" s="36">
        <f t="shared" si="244"/>
        <v>0</v>
      </c>
      <c r="EH75" s="36">
        <f t="shared" si="258"/>
        <v>0</v>
      </c>
      <c r="EI75" s="36">
        <f t="shared" si="272"/>
        <v>0</v>
      </c>
      <c r="EJ75" s="36">
        <f t="shared" si="286"/>
        <v>0</v>
      </c>
      <c r="EK75" s="36">
        <f t="shared" si="300"/>
        <v>0</v>
      </c>
      <c r="EL75" s="36">
        <f t="shared" si="314"/>
        <v>0</v>
      </c>
      <c r="EM75" s="36">
        <f t="shared" si="328"/>
        <v>0</v>
      </c>
      <c r="EN75" s="36">
        <f t="shared" si="342"/>
        <v>0</v>
      </c>
      <c r="EO75" s="47">
        <v>0</v>
      </c>
      <c r="EP75" s="9"/>
      <c r="EQ75" s="36"/>
      <c r="ER75" s="36"/>
      <c r="ES75" s="36">
        <f t="shared" si="232"/>
        <v>0</v>
      </c>
      <c r="ET75" s="36">
        <f t="shared" si="245"/>
        <v>0</v>
      </c>
      <c r="EU75" s="36">
        <f t="shared" si="259"/>
        <v>0</v>
      </c>
      <c r="EV75" s="36">
        <f t="shared" si="273"/>
        <v>0</v>
      </c>
      <c r="EW75" s="36">
        <f t="shared" si="287"/>
        <v>0</v>
      </c>
      <c r="EX75" s="36">
        <f t="shared" si="301"/>
        <v>0</v>
      </c>
      <c r="EY75" s="36">
        <f t="shared" si="315"/>
        <v>0</v>
      </c>
      <c r="EZ75" s="36">
        <f t="shared" si="329"/>
        <v>0</v>
      </c>
      <c r="FA75" s="36">
        <f t="shared" si="343"/>
        <v>0</v>
      </c>
      <c r="FB75" s="47">
        <v>0</v>
      </c>
      <c r="FC75" s="36"/>
      <c r="FD75" s="36"/>
      <c r="FE75" s="36"/>
      <c r="FF75" s="36">
        <f t="shared" si="233"/>
        <v>0</v>
      </c>
      <c r="FG75" s="36">
        <f t="shared" si="246"/>
        <v>0</v>
      </c>
      <c r="FH75" s="36">
        <f t="shared" si="260"/>
        <v>0</v>
      </c>
      <c r="FI75" s="36">
        <f t="shared" si="274"/>
        <v>0</v>
      </c>
      <c r="FJ75" s="36">
        <f t="shared" si="288"/>
        <v>0</v>
      </c>
      <c r="FK75" s="36">
        <f t="shared" si="302"/>
        <v>0</v>
      </c>
      <c r="FL75" s="36">
        <f t="shared" si="316"/>
        <v>0</v>
      </c>
      <c r="FM75" s="36">
        <f t="shared" si="330"/>
        <v>0</v>
      </c>
      <c r="FN75" s="36">
        <f t="shared" si="344"/>
        <v>0</v>
      </c>
      <c r="FO75" s="47">
        <v>0</v>
      </c>
      <c r="FP75" s="36"/>
      <c r="FQ75" s="36"/>
      <c r="FR75" s="36"/>
      <c r="FS75" s="36">
        <f t="shared" si="234"/>
        <v>0</v>
      </c>
      <c r="FT75" s="36">
        <f t="shared" si="247"/>
        <v>0</v>
      </c>
      <c r="FU75" s="36">
        <f t="shared" si="261"/>
        <v>0</v>
      </c>
      <c r="FV75" s="36">
        <f t="shared" si="275"/>
        <v>0</v>
      </c>
      <c r="FW75" s="36">
        <f t="shared" si="289"/>
        <v>0</v>
      </c>
      <c r="FX75" s="36">
        <f t="shared" si="303"/>
        <v>0</v>
      </c>
      <c r="FY75" s="36">
        <f t="shared" si="317"/>
        <v>0</v>
      </c>
      <c r="FZ75" s="36">
        <f t="shared" si="331"/>
        <v>0</v>
      </c>
      <c r="GA75" s="36">
        <f t="shared" si="345"/>
        <v>0</v>
      </c>
      <c r="GB75" s="47">
        <v>0</v>
      </c>
      <c r="GC75" s="36"/>
      <c r="GD75" s="36"/>
      <c r="GE75" s="36"/>
      <c r="GF75" s="36">
        <f t="shared" si="235"/>
        <v>0</v>
      </c>
      <c r="GG75" s="36">
        <f t="shared" si="248"/>
        <v>0</v>
      </c>
      <c r="GH75" s="36">
        <f t="shared" si="262"/>
        <v>0</v>
      </c>
      <c r="GI75" s="36">
        <f t="shared" si="276"/>
        <v>0</v>
      </c>
      <c r="GJ75" s="36">
        <f t="shared" si="290"/>
        <v>0</v>
      </c>
      <c r="GK75" s="36">
        <f t="shared" si="304"/>
        <v>0</v>
      </c>
      <c r="GL75" s="36">
        <f t="shared" si="318"/>
        <v>0</v>
      </c>
      <c r="GM75" s="36">
        <f t="shared" si="332"/>
        <v>0</v>
      </c>
      <c r="GN75" s="36">
        <f t="shared" si="346"/>
        <v>0</v>
      </c>
      <c r="GO75" s="47">
        <v>0</v>
      </c>
      <c r="GP75" s="36">
        <f>SUM(DC75:GO75)</f>
        <v>0</v>
      </c>
      <c r="GQ75" s="38">
        <f>GP75*(1+$E$11)^-18</f>
        <v>0</v>
      </c>
      <c r="GR75" s="38">
        <f t="shared" si="204"/>
        <v>10049161.150000002</v>
      </c>
      <c r="GS75" s="52">
        <f t="shared" si="187"/>
        <v>4175634.021916871</v>
      </c>
      <c r="GT75" s="36"/>
    </row>
    <row r="76" spans="1:202" ht="18">
      <c r="A76" s="9"/>
      <c r="B76" s="49">
        <v>2021</v>
      </c>
      <c r="C76" s="79" t="s">
        <v>40</v>
      </c>
      <c r="D76" s="79" t="s">
        <v>40</v>
      </c>
      <c r="E76" s="79" t="s">
        <v>40</v>
      </c>
      <c r="F76" s="79" t="s">
        <v>40</v>
      </c>
      <c r="G76" s="79" t="s">
        <v>40</v>
      </c>
      <c r="H76" s="79" t="s">
        <v>40</v>
      </c>
      <c r="I76" s="79" t="s">
        <v>40</v>
      </c>
      <c r="J76" s="79" t="s">
        <v>40</v>
      </c>
      <c r="K76" s="80" t="s">
        <v>40</v>
      </c>
      <c r="L76" s="36"/>
      <c r="M76" s="36"/>
      <c r="N76" s="36"/>
      <c r="O76" s="36"/>
      <c r="P76" s="36"/>
      <c r="Q76" s="36">
        <f t="shared" si="249"/>
        <v>106034.6</v>
      </c>
      <c r="R76" s="36">
        <f t="shared" si="263"/>
        <v>110800.20000000001</v>
      </c>
      <c r="S76" s="36">
        <f t="shared" si="277"/>
        <v>115863.65000000001</v>
      </c>
      <c r="T76" s="36">
        <f t="shared" si="291"/>
        <v>121224.95000000001</v>
      </c>
      <c r="U76" s="36">
        <f t="shared" si="305"/>
        <v>126884.1</v>
      </c>
      <c r="V76" s="36">
        <f t="shared" si="319"/>
        <v>132543.25</v>
      </c>
      <c r="W76" s="36">
        <f t="shared" si="333"/>
        <v>138500.25</v>
      </c>
      <c r="X76" s="36">
        <f t="shared" si="347"/>
        <v>144755.1</v>
      </c>
      <c r="Y76" s="47">
        <f aca="true" t="shared" si="357" ref="Y76:Y84">$C$75*$L$75</f>
        <v>151605.65000000002</v>
      </c>
      <c r="Z76" s="36"/>
      <c r="AA76" s="36"/>
      <c r="AB76" s="36"/>
      <c r="AC76" s="36"/>
      <c r="AD76" s="36">
        <f t="shared" si="250"/>
        <v>40507.600000000006</v>
      </c>
      <c r="AE76" s="36">
        <f t="shared" si="264"/>
        <v>41699</v>
      </c>
      <c r="AF76" s="36">
        <f t="shared" si="278"/>
        <v>42890.4</v>
      </c>
      <c r="AG76" s="36">
        <f t="shared" si="292"/>
        <v>44081.8</v>
      </c>
      <c r="AH76" s="36">
        <f t="shared" si="306"/>
        <v>45571.05</v>
      </c>
      <c r="AI76" s="36">
        <f t="shared" si="320"/>
        <v>46762.450000000004</v>
      </c>
      <c r="AJ76" s="36">
        <f t="shared" si="334"/>
        <v>48251.700000000004</v>
      </c>
      <c r="AK76" s="36">
        <f t="shared" si="348"/>
        <v>49740.950000000004</v>
      </c>
      <c r="AL76" s="47">
        <f aca="true" t="shared" si="358" ref="AL76:AL84">$D$75*$L$75</f>
        <v>51230.200000000004</v>
      </c>
      <c r="AM76" s="36"/>
      <c r="AN76" s="36"/>
      <c r="AO76" s="36"/>
      <c r="AP76" s="36"/>
      <c r="AQ76" s="36">
        <f t="shared" si="251"/>
        <v>492048.2</v>
      </c>
      <c r="AR76" s="36">
        <f t="shared" si="265"/>
        <v>517663.30000000005</v>
      </c>
      <c r="AS76" s="36">
        <f t="shared" si="279"/>
        <v>544767.65</v>
      </c>
      <c r="AT76" s="36">
        <f t="shared" si="293"/>
        <v>573063.4</v>
      </c>
      <c r="AU76" s="36">
        <f t="shared" si="307"/>
        <v>602848.4</v>
      </c>
      <c r="AV76" s="36">
        <f t="shared" si="321"/>
        <v>634122.65</v>
      </c>
      <c r="AW76" s="36">
        <f t="shared" si="335"/>
        <v>667184</v>
      </c>
      <c r="AX76" s="36">
        <f t="shared" si="349"/>
        <v>701734.6000000001</v>
      </c>
      <c r="AY76" s="47">
        <v>0</v>
      </c>
      <c r="AZ76" s="36"/>
      <c r="BA76" s="36"/>
      <c r="BB76" s="36"/>
      <c r="BC76" s="36"/>
      <c r="BD76" s="36">
        <f t="shared" si="252"/>
        <v>164115.35</v>
      </c>
      <c r="BE76" s="36">
        <f t="shared" si="266"/>
        <v>172455.15000000002</v>
      </c>
      <c r="BF76" s="36">
        <f t="shared" si="280"/>
        <v>181688.5</v>
      </c>
      <c r="BG76" s="36">
        <f t="shared" si="294"/>
        <v>190921.85</v>
      </c>
      <c r="BH76" s="36">
        <f t="shared" si="308"/>
        <v>201048.75000000003</v>
      </c>
      <c r="BI76" s="36">
        <f t="shared" si="322"/>
        <v>211473.50000000003</v>
      </c>
      <c r="BJ76" s="36">
        <f t="shared" si="336"/>
        <v>222493.95</v>
      </c>
      <c r="BK76" s="36">
        <f t="shared" si="350"/>
        <v>233812.25000000003</v>
      </c>
      <c r="BL76" s="47">
        <v>0</v>
      </c>
      <c r="BM76" s="36"/>
      <c r="BN76" s="36"/>
      <c r="BO76" s="36"/>
      <c r="BP76" s="36"/>
      <c r="BQ76" s="36">
        <f t="shared" si="253"/>
        <v>62250.65</v>
      </c>
      <c r="BR76" s="36">
        <f t="shared" si="267"/>
        <v>68505.5</v>
      </c>
      <c r="BS76" s="36">
        <f t="shared" si="281"/>
        <v>75653.90000000001</v>
      </c>
      <c r="BT76" s="36">
        <f t="shared" si="295"/>
        <v>83100.15000000001</v>
      </c>
      <c r="BU76" s="36">
        <f t="shared" si="309"/>
        <v>91737.8</v>
      </c>
      <c r="BV76" s="36">
        <f t="shared" si="323"/>
        <v>100971.15000000001</v>
      </c>
      <c r="BW76" s="36">
        <f t="shared" si="337"/>
        <v>111395.90000000001</v>
      </c>
      <c r="BX76" s="36">
        <f t="shared" si="351"/>
        <v>122714.20000000001</v>
      </c>
      <c r="BY76" s="47">
        <v>0</v>
      </c>
      <c r="BZ76" s="36"/>
      <c r="CA76" s="36"/>
      <c r="CB76" s="36"/>
      <c r="CC76" s="36"/>
      <c r="CD76" s="36">
        <f t="shared" si="254"/>
        <v>20849.5</v>
      </c>
      <c r="CE76" s="36">
        <f t="shared" si="268"/>
        <v>22934.45</v>
      </c>
      <c r="CF76" s="36">
        <f t="shared" si="282"/>
        <v>25317.250000000004</v>
      </c>
      <c r="CG76" s="36">
        <f t="shared" si="296"/>
        <v>27700.050000000003</v>
      </c>
      <c r="CH76" s="36">
        <f t="shared" si="310"/>
        <v>30678.550000000003</v>
      </c>
      <c r="CI76" s="36">
        <f t="shared" si="324"/>
        <v>33657.05</v>
      </c>
      <c r="CJ76" s="36">
        <f t="shared" si="338"/>
        <v>37231.25</v>
      </c>
      <c r="CK76" s="36">
        <f t="shared" si="352"/>
        <v>40805.450000000004</v>
      </c>
      <c r="CL76" s="47">
        <v>0</v>
      </c>
      <c r="CM76" s="36"/>
      <c r="CN76" s="36"/>
      <c r="CO76" s="36"/>
      <c r="CP76" s="36"/>
      <c r="CQ76" s="36">
        <f t="shared" si="255"/>
        <v>36337.700000000004</v>
      </c>
      <c r="CR76" s="36">
        <f t="shared" si="269"/>
        <v>38124.8</v>
      </c>
      <c r="CS76" s="36">
        <f t="shared" si="283"/>
        <v>40209.75</v>
      </c>
      <c r="CT76" s="36">
        <f t="shared" si="297"/>
        <v>42294.700000000004</v>
      </c>
      <c r="CU76" s="36">
        <f t="shared" si="311"/>
        <v>44379.65</v>
      </c>
      <c r="CV76" s="36">
        <f t="shared" si="325"/>
        <v>46762.450000000004</v>
      </c>
      <c r="CW76" s="36">
        <f t="shared" si="339"/>
        <v>49145.25000000001</v>
      </c>
      <c r="CX76" s="36">
        <f t="shared" si="353"/>
        <v>51825.9</v>
      </c>
      <c r="CY76" s="36">
        <v>0</v>
      </c>
      <c r="CZ76" s="36">
        <f t="shared" si="180"/>
        <v>9174971.4</v>
      </c>
      <c r="DA76" s="38">
        <f>CZ76*(1+$E$10)^-19</f>
        <v>3630847.7376365988</v>
      </c>
      <c r="DB76" s="78"/>
      <c r="DC76" s="36"/>
      <c r="DD76" s="36"/>
      <c r="DE76" s="36"/>
      <c r="DF76" s="36"/>
      <c r="DG76" s="36">
        <f t="shared" si="256"/>
        <v>0</v>
      </c>
      <c r="DH76" s="36">
        <f t="shared" si="270"/>
        <v>0</v>
      </c>
      <c r="DI76" s="36">
        <f t="shared" si="284"/>
        <v>0</v>
      </c>
      <c r="DJ76" s="36">
        <f t="shared" si="298"/>
        <v>0</v>
      </c>
      <c r="DK76" s="36">
        <f t="shared" si="312"/>
        <v>0</v>
      </c>
      <c r="DL76" s="36">
        <f t="shared" si="326"/>
        <v>0</v>
      </c>
      <c r="DM76" s="36">
        <f t="shared" si="340"/>
        <v>0</v>
      </c>
      <c r="DN76" s="36">
        <f t="shared" si="354"/>
        <v>0</v>
      </c>
      <c r="DO76" s="47">
        <f t="shared" si="355"/>
        <v>0</v>
      </c>
      <c r="DP76" s="36"/>
      <c r="DQ76" s="36"/>
      <c r="DR76" s="36"/>
      <c r="DS76" s="36"/>
      <c r="DT76" s="36">
        <f t="shared" si="243"/>
        <v>0</v>
      </c>
      <c r="DU76" s="36">
        <f t="shared" si="257"/>
        <v>0</v>
      </c>
      <c r="DV76" s="36">
        <f t="shared" si="271"/>
        <v>0</v>
      </c>
      <c r="DW76" s="36">
        <f t="shared" si="285"/>
        <v>0</v>
      </c>
      <c r="DX76" s="36">
        <f t="shared" si="299"/>
        <v>0</v>
      </c>
      <c r="DY76" s="36">
        <f t="shared" si="313"/>
        <v>0</v>
      </c>
      <c r="DZ76" s="36">
        <f t="shared" si="327"/>
        <v>0</v>
      </c>
      <c r="EA76" s="36">
        <f t="shared" si="341"/>
        <v>0</v>
      </c>
      <c r="EB76" s="47">
        <f t="shared" si="356"/>
        <v>0</v>
      </c>
      <c r="EC76" s="36"/>
      <c r="ED76" s="36"/>
      <c r="EE76" s="36"/>
      <c r="EF76" s="36"/>
      <c r="EG76" s="36">
        <f t="shared" si="244"/>
        <v>0</v>
      </c>
      <c r="EH76" s="36">
        <f t="shared" si="258"/>
        <v>0</v>
      </c>
      <c r="EI76" s="36">
        <f t="shared" si="272"/>
        <v>0</v>
      </c>
      <c r="EJ76" s="36">
        <f t="shared" si="286"/>
        <v>0</v>
      </c>
      <c r="EK76" s="36">
        <f t="shared" si="300"/>
        <v>0</v>
      </c>
      <c r="EL76" s="36">
        <f t="shared" si="314"/>
        <v>0</v>
      </c>
      <c r="EM76" s="36">
        <f t="shared" si="328"/>
        <v>0</v>
      </c>
      <c r="EN76" s="36">
        <f t="shared" si="342"/>
        <v>0</v>
      </c>
      <c r="EO76" s="47">
        <v>0</v>
      </c>
      <c r="EP76" s="9"/>
      <c r="EQ76" s="36"/>
      <c r="ER76" s="36"/>
      <c r="ES76" s="36"/>
      <c r="ET76" s="36">
        <f t="shared" si="245"/>
        <v>0</v>
      </c>
      <c r="EU76" s="36">
        <f t="shared" si="259"/>
        <v>0</v>
      </c>
      <c r="EV76" s="36">
        <f t="shared" si="273"/>
        <v>0</v>
      </c>
      <c r="EW76" s="36">
        <f t="shared" si="287"/>
        <v>0</v>
      </c>
      <c r="EX76" s="36">
        <f t="shared" si="301"/>
        <v>0</v>
      </c>
      <c r="EY76" s="36">
        <f t="shared" si="315"/>
        <v>0</v>
      </c>
      <c r="EZ76" s="36">
        <f t="shared" si="329"/>
        <v>0</v>
      </c>
      <c r="FA76" s="36">
        <f t="shared" si="343"/>
        <v>0</v>
      </c>
      <c r="FB76" s="47">
        <v>0</v>
      </c>
      <c r="FC76" s="36"/>
      <c r="FD76" s="36"/>
      <c r="FE76" s="36"/>
      <c r="FF76" s="36"/>
      <c r="FG76" s="36">
        <f t="shared" si="246"/>
        <v>0</v>
      </c>
      <c r="FH76" s="36">
        <f t="shared" si="260"/>
        <v>0</v>
      </c>
      <c r="FI76" s="36">
        <f t="shared" si="274"/>
        <v>0</v>
      </c>
      <c r="FJ76" s="36">
        <f t="shared" si="288"/>
        <v>0</v>
      </c>
      <c r="FK76" s="36">
        <f t="shared" si="302"/>
        <v>0</v>
      </c>
      <c r="FL76" s="36">
        <f t="shared" si="316"/>
        <v>0</v>
      </c>
      <c r="FM76" s="36">
        <f t="shared" si="330"/>
        <v>0</v>
      </c>
      <c r="FN76" s="36">
        <f t="shared" si="344"/>
        <v>0</v>
      </c>
      <c r="FO76" s="47">
        <v>0</v>
      </c>
      <c r="FP76" s="36"/>
      <c r="FQ76" s="36"/>
      <c r="FR76" s="36"/>
      <c r="FS76" s="36"/>
      <c r="FT76" s="36">
        <f t="shared" si="247"/>
        <v>0</v>
      </c>
      <c r="FU76" s="36">
        <f t="shared" si="261"/>
        <v>0</v>
      </c>
      <c r="FV76" s="36">
        <f t="shared" si="275"/>
        <v>0</v>
      </c>
      <c r="FW76" s="36">
        <f t="shared" si="289"/>
        <v>0</v>
      </c>
      <c r="FX76" s="36">
        <f t="shared" si="303"/>
        <v>0</v>
      </c>
      <c r="FY76" s="36">
        <f t="shared" si="317"/>
        <v>0</v>
      </c>
      <c r="FZ76" s="36">
        <f t="shared" si="331"/>
        <v>0</v>
      </c>
      <c r="GA76" s="36">
        <f t="shared" si="345"/>
        <v>0</v>
      </c>
      <c r="GB76" s="47">
        <v>0</v>
      </c>
      <c r="GC76" s="36"/>
      <c r="GD76" s="36"/>
      <c r="GE76" s="36"/>
      <c r="GF76" s="36"/>
      <c r="GG76" s="36">
        <f t="shared" si="248"/>
        <v>0</v>
      </c>
      <c r="GH76" s="36">
        <f t="shared" si="262"/>
        <v>0</v>
      </c>
      <c r="GI76" s="36">
        <f t="shared" si="276"/>
        <v>0</v>
      </c>
      <c r="GJ76" s="36">
        <f t="shared" si="290"/>
        <v>0</v>
      </c>
      <c r="GK76" s="36">
        <f t="shared" si="304"/>
        <v>0</v>
      </c>
      <c r="GL76" s="36">
        <f t="shared" si="318"/>
        <v>0</v>
      </c>
      <c r="GM76" s="36">
        <f t="shared" si="332"/>
        <v>0</v>
      </c>
      <c r="GN76" s="36">
        <f t="shared" si="346"/>
        <v>0</v>
      </c>
      <c r="GO76" s="47">
        <v>0</v>
      </c>
      <c r="GP76" s="36">
        <f>SUM(DC76:GO76)</f>
        <v>0</v>
      </c>
      <c r="GQ76" s="38">
        <f>GP76*(1+$E$11)^-19</f>
        <v>0</v>
      </c>
      <c r="GR76" s="38">
        <f t="shared" si="204"/>
        <v>9174971.4</v>
      </c>
      <c r="GS76" s="52">
        <f t="shared" si="187"/>
        <v>3630847.7376365988</v>
      </c>
      <c r="GT76" s="9"/>
    </row>
    <row r="77" spans="1:202" ht="18">
      <c r="A77" s="9"/>
      <c r="B77" s="49">
        <v>2022</v>
      </c>
      <c r="C77" s="79" t="s">
        <v>40</v>
      </c>
      <c r="D77" s="79" t="s">
        <v>40</v>
      </c>
      <c r="E77" s="79" t="s">
        <v>40</v>
      </c>
      <c r="F77" s="79" t="s">
        <v>40</v>
      </c>
      <c r="G77" s="79" t="s">
        <v>40</v>
      </c>
      <c r="H77" s="79" t="s">
        <v>40</v>
      </c>
      <c r="I77" s="79" t="s">
        <v>40</v>
      </c>
      <c r="J77" s="79" t="s">
        <v>40</v>
      </c>
      <c r="K77" s="80" t="s">
        <v>40</v>
      </c>
      <c r="L77" s="36"/>
      <c r="M77" s="36"/>
      <c r="N77" s="36"/>
      <c r="O77" s="36"/>
      <c r="P77" s="36"/>
      <c r="Q77" s="36"/>
      <c r="R77" s="36">
        <f t="shared" si="263"/>
        <v>110800.20000000001</v>
      </c>
      <c r="S77" s="36">
        <f t="shared" si="277"/>
        <v>115863.65000000001</v>
      </c>
      <c r="T77" s="36">
        <f t="shared" si="291"/>
        <v>121224.95000000001</v>
      </c>
      <c r="U77" s="36">
        <f t="shared" si="305"/>
        <v>126884.1</v>
      </c>
      <c r="V77" s="36">
        <f t="shared" si="319"/>
        <v>132543.25</v>
      </c>
      <c r="W77" s="36">
        <f t="shared" si="333"/>
        <v>138500.25</v>
      </c>
      <c r="X77" s="36">
        <f t="shared" si="347"/>
        <v>144755.1</v>
      </c>
      <c r="Y77" s="47">
        <f t="shared" si="357"/>
        <v>151605.65000000002</v>
      </c>
      <c r="Z77" s="36"/>
      <c r="AA77" s="36"/>
      <c r="AB77" s="36"/>
      <c r="AC77" s="36"/>
      <c r="AD77" s="36"/>
      <c r="AE77" s="36">
        <f t="shared" si="264"/>
        <v>41699</v>
      </c>
      <c r="AF77" s="36">
        <f t="shared" si="278"/>
        <v>42890.4</v>
      </c>
      <c r="AG77" s="36">
        <f t="shared" si="292"/>
        <v>44081.8</v>
      </c>
      <c r="AH77" s="36">
        <f t="shared" si="306"/>
        <v>45571.05</v>
      </c>
      <c r="AI77" s="36">
        <f t="shared" si="320"/>
        <v>46762.450000000004</v>
      </c>
      <c r="AJ77" s="36">
        <f t="shared" si="334"/>
        <v>48251.700000000004</v>
      </c>
      <c r="AK77" s="36">
        <f t="shared" si="348"/>
        <v>49740.950000000004</v>
      </c>
      <c r="AL77" s="47">
        <f t="shared" si="358"/>
        <v>51230.200000000004</v>
      </c>
      <c r="AM77" s="36"/>
      <c r="AN77" s="36"/>
      <c r="AO77" s="36"/>
      <c r="AP77" s="36"/>
      <c r="AQ77" s="36"/>
      <c r="AR77" s="36">
        <f t="shared" si="265"/>
        <v>517663.30000000005</v>
      </c>
      <c r="AS77" s="36">
        <f t="shared" si="279"/>
        <v>544767.65</v>
      </c>
      <c r="AT77" s="36">
        <f t="shared" si="293"/>
        <v>573063.4</v>
      </c>
      <c r="AU77" s="36">
        <f t="shared" si="307"/>
        <v>602848.4</v>
      </c>
      <c r="AV77" s="36">
        <f t="shared" si="321"/>
        <v>634122.65</v>
      </c>
      <c r="AW77" s="36">
        <f t="shared" si="335"/>
        <v>667184</v>
      </c>
      <c r="AX77" s="36">
        <f t="shared" si="349"/>
        <v>701734.6000000001</v>
      </c>
      <c r="AY77" s="47">
        <v>0</v>
      </c>
      <c r="AZ77" s="36"/>
      <c r="BA77" s="36"/>
      <c r="BB77" s="36"/>
      <c r="BC77" s="36"/>
      <c r="BD77" s="36"/>
      <c r="BE77" s="36">
        <f t="shared" si="266"/>
        <v>172455.15000000002</v>
      </c>
      <c r="BF77" s="36">
        <f t="shared" si="280"/>
        <v>181688.5</v>
      </c>
      <c r="BG77" s="36">
        <f t="shared" si="294"/>
        <v>190921.85</v>
      </c>
      <c r="BH77" s="36">
        <f t="shared" si="308"/>
        <v>201048.75000000003</v>
      </c>
      <c r="BI77" s="36">
        <f t="shared" si="322"/>
        <v>211473.50000000003</v>
      </c>
      <c r="BJ77" s="36">
        <f t="shared" si="336"/>
        <v>222493.95</v>
      </c>
      <c r="BK77" s="36">
        <f t="shared" si="350"/>
        <v>233812.25000000003</v>
      </c>
      <c r="BL77" s="47">
        <v>0</v>
      </c>
      <c r="BM77" s="36"/>
      <c r="BN77" s="36"/>
      <c r="BO77" s="36"/>
      <c r="BP77" s="36"/>
      <c r="BQ77" s="36"/>
      <c r="BR77" s="36">
        <f t="shared" si="267"/>
        <v>68505.5</v>
      </c>
      <c r="BS77" s="36">
        <f t="shared" si="281"/>
        <v>75653.90000000001</v>
      </c>
      <c r="BT77" s="36">
        <f t="shared" si="295"/>
        <v>83100.15000000001</v>
      </c>
      <c r="BU77" s="36">
        <f t="shared" si="309"/>
        <v>91737.8</v>
      </c>
      <c r="BV77" s="36">
        <f t="shared" si="323"/>
        <v>100971.15000000001</v>
      </c>
      <c r="BW77" s="36">
        <f t="shared" si="337"/>
        <v>111395.90000000001</v>
      </c>
      <c r="BX77" s="36">
        <f t="shared" si="351"/>
        <v>122714.20000000001</v>
      </c>
      <c r="BY77" s="47">
        <v>0</v>
      </c>
      <c r="BZ77" s="36"/>
      <c r="CA77" s="36"/>
      <c r="CB77" s="36"/>
      <c r="CC77" s="36"/>
      <c r="CD77" s="36"/>
      <c r="CE77" s="36">
        <f t="shared" si="268"/>
        <v>22934.45</v>
      </c>
      <c r="CF77" s="36">
        <f t="shared" si="282"/>
        <v>25317.250000000004</v>
      </c>
      <c r="CG77" s="36">
        <f t="shared" si="296"/>
        <v>27700.050000000003</v>
      </c>
      <c r="CH77" s="36">
        <f t="shared" si="310"/>
        <v>30678.550000000003</v>
      </c>
      <c r="CI77" s="36">
        <f t="shared" si="324"/>
        <v>33657.05</v>
      </c>
      <c r="CJ77" s="36">
        <f t="shared" si="338"/>
        <v>37231.25</v>
      </c>
      <c r="CK77" s="36">
        <f t="shared" si="352"/>
        <v>40805.450000000004</v>
      </c>
      <c r="CL77" s="47">
        <v>0</v>
      </c>
      <c r="CM77" s="36"/>
      <c r="CN77" s="36"/>
      <c r="CO77" s="36"/>
      <c r="CP77" s="36"/>
      <c r="CQ77" s="36"/>
      <c r="CR77" s="36">
        <f t="shared" si="269"/>
        <v>38124.8</v>
      </c>
      <c r="CS77" s="36">
        <f t="shared" si="283"/>
        <v>40209.75</v>
      </c>
      <c r="CT77" s="36">
        <f t="shared" si="297"/>
        <v>42294.700000000004</v>
      </c>
      <c r="CU77" s="36">
        <f t="shared" si="311"/>
        <v>44379.65</v>
      </c>
      <c r="CV77" s="36">
        <f t="shared" si="325"/>
        <v>46762.450000000004</v>
      </c>
      <c r="CW77" s="36">
        <f t="shared" si="339"/>
        <v>49145.25000000001</v>
      </c>
      <c r="CX77" s="36">
        <f t="shared" si="353"/>
        <v>51825.9</v>
      </c>
      <c r="CY77" s="36">
        <v>0</v>
      </c>
      <c r="CZ77" s="36">
        <f t="shared" si="180"/>
        <v>8252827.800000002</v>
      </c>
      <c r="DA77" s="38">
        <f>CZ77*(1+$E$10)^-20</f>
        <v>3110404.001781924</v>
      </c>
      <c r="DB77" s="78"/>
      <c r="DC77" s="36"/>
      <c r="DD77" s="36"/>
      <c r="DE77" s="36"/>
      <c r="DF77" s="36"/>
      <c r="DG77" s="36"/>
      <c r="DH77" s="36">
        <f t="shared" si="270"/>
        <v>0</v>
      </c>
      <c r="DI77" s="36">
        <f t="shared" si="284"/>
        <v>0</v>
      </c>
      <c r="DJ77" s="36">
        <f t="shared" si="298"/>
        <v>0</v>
      </c>
      <c r="DK77" s="36">
        <f t="shared" si="312"/>
        <v>0</v>
      </c>
      <c r="DL77" s="36">
        <f t="shared" si="326"/>
        <v>0</v>
      </c>
      <c r="DM77" s="36">
        <f t="shared" si="340"/>
        <v>0</v>
      </c>
      <c r="DN77" s="36">
        <f t="shared" si="354"/>
        <v>0</v>
      </c>
      <c r="DO77" s="47">
        <f t="shared" si="355"/>
        <v>0</v>
      </c>
      <c r="DP77" s="36"/>
      <c r="DQ77" s="36"/>
      <c r="DR77" s="36"/>
      <c r="DS77" s="36"/>
      <c r="DT77" s="36"/>
      <c r="DU77" s="36">
        <f t="shared" si="257"/>
        <v>0</v>
      </c>
      <c r="DV77" s="36">
        <f t="shared" si="271"/>
        <v>0</v>
      </c>
      <c r="DW77" s="36">
        <f t="shared" si="285"/>
        <v>0</v>
      </c>
      <c r="DX77" s="36">
        <f t="shared" si="299"/>
        <v>0</v>
      </c>
      <c r="DY77" s="36">
        <f t="shared" si="313"/>
        <v>0</v>
      </c>
      <c r="DZ77" s="36">
        <f t="shared" si="327"/>
        <v>0</v>
      </c>
      <c r="EA77" s="36">
        <f t="shared" si="341"/>
        <v>0</v>
      </c>
      <c r="EB77" s="47">
        <f t="shared" si="356"/>
        <v>0</v>
      </c>
      <c r="EC77" s="36"/>
      <c r="ED77" s="36"/>
      <c r="EE77" s="36"/>
      <c r="EF77" s="36"/>
      <c r="EG77" s="36"/>
      <c r="EH77" s="36">
        <f t="shared" si="258"/>
        <v>0</v>
      </c>
      <c r="EI77" s="36">
        <f t="shared" si="272"/>
        <v>0</v>
      </c>
      <c r="EJ77" s="36">
        <f t="shared" si="286"/>
        <v>0</v>
      </c>
      <c r="EK77" s="36">
        <f t="shared" si="300"/>
        <v>0</v>
      </c>
      <c r="EL77" s="36">
        <f t="shared" si="314"/>
        <v>0</v>
      </c>
      <c r="EM77" s="36">
        <f t="shared" si="328"/>
        <v>0</v>
      </c>
      <c r="EN77" s="36">
        <f t="shared" si="342"/>
        <v>0</v>
      </c>
      <c r="EO77" s="47">
        <v>0</v>
      </c>
      <c r="EP77" s="9"/>
      <c r="EQ77" s="36"/>
      <c r="ER77" s="36"/>
      <c r="ES77" s="36"/>
      <c r="ET77" s="36"/>
      <c r="EU77" s="36">
        <f t="shared" si="259"/>
        <v>0</v>
      </c>
      <c r="EV77" s="36">
        <f t="shared" si="273"/>
        <v>0</v>
      </c>
      <c r="EW77" s="36">
        <f t="shared" si="287"/>
        <v>0</v>
      </c>
      <c r="EX77" s="36">
        <f t="shared" si="301"/>
        <v>0</v>
      </c>
      <c r="EY77" s="36">
        <f t="shared" si="315"/>
        <v>0</v>
      </c>
      <c r="EZ77" s="36">
        <f t="shared" si="329"/>
        <v>0</v>
      </c>
      <c r="FA77" s="36">
        <f t="shared" si="343"/>
        <v>0</v>
      </c>
      <c r="FB77" s="47">
        <v>0</v>
      </c>
      <c r="FC77" s="36"/>
      <c r="FD77" s="36"/>
      <c r="FE77" s="36"/>
      <c r="FF77" s="36"/>
      <c r="FG77" s="36"/>
      <c r="FH77" s="36">
        <f t="shared" si="260"/>
        <v>0</v>
      </c>
      <c r="FI77" s="36">
        <f t="shared" si="274"/>
        <v>0</v>
      </c>
      <c r="FJ77" s="36">
        <f t="shared" si="288"/>
        <v>0</v>
      </c>
      <c r="FK77" s="36">
        <f t="shared" si="302"/>
        <v>0</v>
      </c>
      <c r="FL77" s="36">
        <f t="shared" si="316"/>
        <v>0</v>
      </c>
      <c r="FM77" s="36">
        <f t="shared" si="330"/>
        <v>0</v>
      </c>
      <c r="FN77" s="36">
        <f t="shared" si="344"/>
        <v>0</v>
      </c>
      <c r="FO77" s="47">
        <v>0</v>
      </c>
      <c r="FP77" s="36"/>
      <c r="FQ77" s="36"/>
      <c r="FR77" s="36"/>
      <c r="FS77" s="36"/>
      <c r="FT77" s="36"/>
      <c r="FU77" s="36">
        <f t="shared" si="261"/>
        <v>0</v>
      </c>
      <c r="FV77" s="36">
        <f t="shared" si="275"/>
        <v>0</v>
      </c>
      <c r="FW77" s="36">
        <f t="shared" si="289"/>
        <v>0</v>
      </c>
      <c r="FX77" s="36">
        <f t="shared" si="303"/>
        <v>0</v>
      </c>
      <c r="FY77" s="36">
        <f t="shared" si="317"/>
        <v>0</v>
      </c>
      <c r="FZ77" s="36">
        <f t="shared" si="331"/>
        <v>0</v>
      </c>
      <c r="GA77" s="36">
        <f t="shared" si="345"/>
        <v>0</v>
      </c>
      <c r="GB77" s="47">
        <v>0</v>
      </c>
      <c r="GC77" s="36"/>
      <c r="GD77" s="36"/>
      <c r="GE77" s="36"/>
      <c r="GF77" s="36"/>
      <c r="GG77" s="36"/>
      <c r="GH77" s="36">
        <f t="shared" si="262"/>
        <v>0</v>
      </c>
      <c r="GI77" s="36">
        <f t="shared" si="276"/>
        <v>0</v>
      </c>
      <c r="GJ77" s="36">
        <f t="shared" si="290"/>
        <v>0</v>
      </c>
      <c r="GK77" s="36">
        <f t="shared" si="304"/>
        <v>0</v>
      </c>
      <c r="GL77" s="36">
        <f t="shared" si="318"/>
        <v>0</v>
      </c>
      <c r="GM77" s="36">
        <f t="shared" si="332"/>
        <v>0</v>
      </c>
      <c r="GN77" s="36">
        <f t="shared" si="346"/>
        <v>0</v>
      </c>
      <c r="GO77" s="47">
        <v>0</v>
      </c>
      <c r="GP77" s="36">
        <f>SUM(DC77:GO77)</f>
        <v>0</v>
      </c>
      <c r="GQ77" s="38">
        <f>GP77*(1+$E$11)^-20</f>
        <v>0</v>
      </c>
      <c r="GR77" s="38">
        <f t="shared" si="204"/>
        <v>8252827.800000002</v>
      </c>
      <c r="GS77" s="52">
        <f t="shared" si="187"/>
        <v>3110404.001781924</v>
      </c>
      <c r="GT77" s="9"/>
    </row>
    <row r="78" spans="1:202" ht="18">
      <c r="A78" s="9"/>
      <c r="B78" s="49">
        <v>2023</v>
      </c>
      <c r="C78" s="79" t="s">
        <v>40</v>
      </c>
      <c r="D78" s="79" t="s">
        <v>40</v>
      </c>
      <c r="E78" s="79" t="s">
        <v>40</v>
      </c>
      <c r="F78" s="79" t="s">
        <v>40</v>
      </c>
      <c r="G78" s="79" t="s">
        <v>40</v>
      </c>
      <c r="H78" s="79" t="s">
        <v>40</v>
      </c>
      <c r="I78" s="79" t="s">
        <v>40</v>
      </c>
      <c r="J78" s="79" t="s">
        <v>40</v>
      </c>
      <c r="K78" s="80" t="s">
        <v>40</v>
      </c>
      <c r="L78" s="36"/>
      <c r="M78" s="36"/>
      <c r="N78" s="36"/>
      <c r="O78" s="36"/>
      <c r="P78" s="36"/>
      <c r="Q78" s="36"/>
      <c r="R78" s="36"/>
      <c r="S78" s="36">
        <f t="shared" si="277"/>
        <v>115863.65000000001</v>
      </c>
      <c r="T78" s="36">
        <f t="shared" si="291"/>
        <v>121224.95000000001</v>
      </c>
      <c r="U78" s="36">
        <f t="shared" si="305"/>
        <v>126884.1</v>
      </c>
      <c r="V78" s="36">
        <f t="shared" si="319"/>
        <v>132543.25</v>
      </c>
      <c r="W78" s="36">
        <f t="shared" si="333"/>
        <v>138500.25</v>
      </c>
      <c r="X78" s="36">
        <f t="shared" si="347"/>
        <v>144755.1</v>
      </c>
      <c r="Y78" s="47">
        <f t="shared" si="357"/>
        <v>151605.65000000002</v>
      </c>
      <c r="Z78" s="36"/>
      <c r="AA78" s="36"/>
      <c r="AB78" s="36"/>
      <c r="AC78" s="36"/>
      <c r="AD78" s="36"/>
      <c r="AE78" s="36"/>
      <c r="AF78" s="36">
        <f t="shared" si="278"/>
        <v>42890.4</v>
      </c>
      <c r="AG78" s="36">
        <f t="shared" si="292"/>
        <v>44081.8</v>
      </c>
      <c r="AH78" s="36">
        <f t="shared" si="306"/>
        <v>45571.05</v>
      </c>
      <c r="AI78" s="36">
        <f t="shared" si="320"/>
        <v>46762.450000000004</v>
      </c>
      <c r="AJ78" s="36">
        <f t="shared" si="334"/>
        <v>48251.700000000004</v>
      </c>
      <c r="AK78" s="36">
        <f t="shared" si="348"/>
        <v>49740.950000000004</v>
      </c>
      <c r="AL78" s="47">
        <f t="shared" si="358"/>
        <v>51230.200000000004</v>
      </c>
      <c r="AM78" s="36"/>
      <c r="AN78" s="36"/>
      <c r="AO78" s="36"/>
      <c r="AP78" s="36"/>
      <c r="AQ78" s="36"/>
      <c r="AR78" s="36"/>
      <c r="AS78" s="36">
        <f t="shared" si="279"/>
        <v>544767.65</v>
      </c>
      <c r="AT78" s="36">
        <f t="shared" si="293"/>
        <v>573063.4</v>
      </c>
      <c r="AU78" s="36">
        <f t="shared" si="307"/>
        <v>602848.4</v>
      </c>
      <c r="AV78" s="36">
        <f t="shared" si="321"/>
        <v>634122.65</v>
      </c>
      <c r="AW78" s="36">
        <f t="shared" si="335"/>
        <v>667184</v>
      </c>
      <c r="AX78" s="36">
        <f t="shared" si="349"/>
        <v>701734.6000000001</v>
      </c>
      <c r="AY78" s="47">
        <v>0</v>
      </c>
      <c r="AZ78" s="36"/>
      <c r="BA78" s="36"/>
      <c r="BB78" s="36"/>
      <c r="BC78" s="36"/>
      <c r="BD78" s="36"/>
      <c r="BE78" s="36"/>
      <c r="BF78" s="36">
        <f t="shared" si="280"/>
        <v>181688.5</v>
      </c>
      <c r="BG78" s="36">
        <f t="shared" si="294"/>
        <v>190921.85</v>
      </c>
      <c r="BH78" s="36">
        <f t="shared" si="308"/>
        <v>201048.75000000003</v>
      </c>
      <c r="BI78" s="36">
        <f t="shared" si="322"/>
        <v>211473.50000000003</v>
      </c>
      <c r="BJ78" s="36">
        <f t="shared" si="336"/>
        <v>222493.95</v>
      </c>
      <c r="BK78" s="36">
        <f t="shared" si="350"/>
        <v>233812.25000000003</v>
      </c>
      <c r="BL78" s="47">
        <v>0</v>
      </c>
      <c r="BM78" s="36"/>
      <c r="BN78" s="36"/>
      <c r="BO78" s="36"/>
      <c r="BP78" s="36"/>
      <c r="BQ78" s="36"/>
      <c r="BR78" s="36"/>
      <c r="BS78" s="36">
        <f t="shared" si="281"/>
        <v>75653.90000000001</v>
      </c>
      <c r="BT78" s="36">
        <f t="shared" si="295"/>
        <v>83100.15000000001</v>
      </c>
      <c r="BU78" s="36">
        <f t="shared" si="309"/>
        <v>91737.8</v>
      </c>
      <c r="BV78" s="36">
        <f t="shared" si="323"/>
        <v>100971.15000000001</v>
      </c>
      <c r="BW78" s="36">
        <f t="shared" si="337"/>
        <v>111395.90000000001</v>
      </c>
      <c r="BX78" s="36">
        <f t="shared" si="351"/>
        <v>122714.20000000001</v>
      </c>
      <c r="BY78" s="47">
        <v>0</v>
      </c>
      <c r="BZ78" s="36"/>
      <c r="CA78" s="36"/>
      <c r="CB78" s="36"/>
      <c r="CC78" s="36"/>
      <c r="CD78" s="36"/>
      <c r="CE78" s="36"/>
      <c r="CF78" s="36">
        <f t="shared" si="282"/>
        <v>25317.250000000004</v>
      </c>
      <c r="CG78" s="36">
        <f t="shared" si="296"/>
        <v>27700.050000000003</v>
      </c>
      <c r="CH78" s="36">
        <f t="shared" si="310"/>
        <v>30678.550000000003</v>
      </c>
      <c r="CI78" s="36">
        <f t="shared" si="324"/>
        <v>33657.05</v>
      </c>
      <c r="CJ78" s="36">
        <f t="shared" si="338"/>
        <v>37231.25</v>
      </c>
      <c r="CK78" s="36">
        <f t="shared" si="352"/>
        <v>40805.450000000004</v>
      </c>
      <c r="CL78" s="47">
        <v>0</v>
      </c>
      <c r="CM78" s="36"/>
      <c r="CN78" s="36"/>
      <c r="CO78" s="36"/>
      <c r="CP78" s="36"/>
      <c r="CQ78" s="36"/>
      <c r="CR78" s="36"/>
      <c r="CS78" s="36">
        <f t="shared" si="283"/>
        <v>40209.75</v>
      </c>
      <c r="CT78" s="36">
        <f t="shared" si="297"/>
        <v>42294.700000000004</v>
      </c>
      <c r="CU78" s="36">
        <f t="shared" si="311"/>
        <v>44379.65</v>
      </c>
      <c r="CV78" s="36">
        <f t="shared" si="325"/>
        <v>46762.450000000004</v>
      </c>
      <c r="CW78" s="36">
        <f t="shared" si="339"/>
        <v>49145.25000000001</v>
      </c>
      <c r="CX78" s="36">
        <f t="shared" si="353"/>
        <v>51825.9</v>
      </c>
      <c r="CY78" s="36">
        <v>0</v>
      </c>
      <c r="CZ78" s="36">
        <f t="shared" si="180"/>
        <v>7280645.400000001</v>
      </c>
      <c r="DA78" s="38">
        <f>CZ78*(1+$E$10)^-21</f>
        <v>2613332.0759882773</v>
      </c>
      <c r="DB78" s="78"/>
      <c r="DC78" s="36"/>
      <c r="DD78" s="36"/>
      <c r="DE78" s="36"/>
      <c r="DF78" s="36"/>
      <c r="DG78" s="36"/>
      <c r="DH78" s="36"/>
      <c r="DI78" s="36">
        <f t="shared" si="284"/>
        <v>0</v>
      </c>
      <c r="DJ78" s="36">
        <f t="shared" si="298"/>
        <v>0</v>
      </c>
      <c r="DK78" s="36">
        <f t="shared" si="312"/>
        <v>0</v>
      </c>
      <c r="DL78" s="36">
        <f t="shared" si="326"/>
        <v>0</v>
      </c>
      <c r="DM78" s="36">
        <f t="shared" si="340"/>
        <v>0</v>
      </c>
      <c r="DN78" s="36">
        <f t="shared" si="354"/>
        <v>0</v>
      </c>
      <c r="DO78" s="47">
        <f t="shared" si="355"/>
        <v>0</v>
      </c>
      <c r="DP78" s="36"/>
      <c r="DQ78" s="36"/>
      <c r="DR78" s="36"/>
      <c r="DS78" s="36"/>
      <c r="DT78" s="36"/>
      <c r="DU78" s="36"/>
      <c r="DV78" s="36">
        <f t="shared" si="271"/>
        <v>0</v>
      </c>
      <c r="DW78" s="36">
        <f t="shared" si="285"/>
        <v>0</v>
      </c>
      <c r="DX78" s="36">
        <f t="shared" si="299"/>
        <v>0</v>
      </c>
      <c r="DY78" s="36">
        <f t="shared" si="313"/>
        <v>0</v>
      </c>
      <c r="DZ78" s="36">
        <f t="shared" si="327"/>
        <v>0</v>
      </c>
      <c r="EA78" s="36">
        <f t="shared" si="341"/>
        <v>0</v>
      </c>
      <c r="EB78" s="47">
        <f t="shared" si="356"/>
        <v>0</v>
      </c>
      <c r="EC78" s="36"/>
      <c r="ED78" s="36"/>
      <c r="EE78" s="36"/>
      <c r="EF78" s="36"/>
      <c r="EG78" s="36"/>
      <c r="EH78" s="36"/>
      <c r="EI78" s="36">
        <f t="shared" si="272"/>
        <v>0</v>
      </c>
      <c r="EJ78" s="36">
        <f t="shared" si="286"/>
        <v>0</v>
      </c>
      <c r="EK78" s="36">
        <f t="shared" si="300"/>
        <v>0</v>
      </c>
      <c r="EL78" s="36">
        <f t="shared" si="314"/>
        <v>0</v>
      </c>
      <c r="EM78" s="36">
        <f t="shared" si="328"/>
        <v>0</v>
      </c>
      <c r="EN78" s="36">
        <f t="shared" si="342"/>
        <v>0</v>
      </c>
      <c r="EO78" s="47">
        <v>0</v>
      </c>
      <c r="EP78" s="9"/>
      <c r="EQ78" s="36"/>
      <c r="ER78" s="36"/>
      <c r="ES78" s="36"/>
      <c r="ET78" s="36"/>
      <c r="EU78" s="36"/>
      <c r="EV78" s="36">
        <f t="shared" si="273"/>
        <v>0</v>
      </c>
      <c r="EW78" s="36">
        <f t="shared" si="287"/>
        <v>0</v>
      </c>
      <c r="EX78" s="36">
        <f t="shared" si="301"/>
        <v>0</v>
      </c>
      <c r="EY78" s="36">
        <f t="shared" si="315"/>
        <v>0</v>
      </c>
      <c r="EZ78" s="36">
        <f t="shared" si="329"/>
        <v>0</v>
      </c>
      <c r="FA78" s="36">
        <f t="shared" si="343"/>
        <v>0</v>
      </c>
      <c r="FB78" s="47">
        <v>0</v>
      </c>
      <c r="FC78" s="36"/>
      <c r="FD78" s="36"/>
      <c r="FE78" s="36"/>
      <c r="FF78" s="36"/>
      <c r="FG78" s="36"/>
      <c r="FH78" s="36"/>
      <c r="FI78" s="36">
        <f t="shared" si="274"/>
        <v>0</v>
      </c>
      <c r="FJ78" s="36">
        <f t="shared" si="288"/>
        <v>0</v>
      </c>
      <c r="FK78" s="36">
        <f t="shared" si="302"/>
        <v>0</v>
      </c>
      <c r="FL78" s="36">
        <f t="shared" si="316"/>
        <v>0</v>
      </c>
      <c r="FM78" s="36">
        <f t="shared" si="330"/>
        <v>0</v>
      </c>
      <c r="FN78" s="36">
        <f t="shared" si="344"/>
        <v>0</v>
      </c>
      <c r="FO78" s="47">
        <v>0</v>
      </c>
      <c r="FP78" s="36"/>
      <c r="FQ78" s="36"/>
      <c r="FR78" s="36"/>
      <c r="FS78" s="36"/>
      <c r="FT78" s="36"/>
      <c r="FU78" s="36"/>
      <c r="FV78" s="36">
        <f t="shared" si="275"/>
        <v>0</v>
      </c>
      <c r="FW78" s="36">
        <f t="shared" si="289"/>
        <v>0</v>
      </c>
      <c r="FX78" s="36">
        <f t="shared" si="303"/>
        <v>0</v>
      </c>
      <c r="FY78" s="36">
        <f t="shared" si="317"/>
        <v>0</v>
      </c>
      <c r="FZ78" s="36">
        <f t="shared" si="331"/>
        <v>0</v>
      </c>
      <c r="GA78" s="36">
        <f t="shared" si="345"/>
        <v>0</v>
      </c>
      <c r="GB78" s="47">
        <v>0</v>
      </c>
      <c r="GC78" s="36"/>
      <c r="GD78" s="36"/>
      <c r="GE78" s="36"/>
      <c r="GF78" s="36"/>
      <c r="GG78" s="36"/>
      <c r="GH78" s="36"/>
      <c r="GI78" s="36">
        <f t="shared" si="276"/>
        <v>0</v>
      </c>
      <c r="GJ78" s="36">
        <f t="shared" si="290"/>
        <v>0</v>
      </c>
      <c r="GK78" s="36">
        <f t="shared" si="304"/>
        <v>0</v>
      </c>
      <c r="GL78" s="36">
        <f t="shared" si="318"/>
        <v>0</v>
      </c>
      <c r="GM78" s="36">
        <f t="shared" si="332"/>
        <v>0</v>
      </c>
      <c r="GN78" s="36">
        <f t="shared" si="346"/>
        <v>0</v>
      </c>
      <c r="GO78" s="47">
        <v>0</v>
      </c>
      <c r="GP78" s="36">
        <f>SUM(DC78:GO78)</f>
        <v>0</v>
      </c>
      <c r="GQ78" s="38">
        <f>GP78*(1+$E$11)^-21</f>
        <v>0</v>
      </c>
      <c r="GR78" s="38">
        <f t="shared" si="204"/>
        <v>7280645.400000001</v>
      </c>
      <c r="GS78" s="52">
        <f t="shared" si="187"/>
        <v>2613332.0759882773</v>
      </c>
      <c r="GT78" s="9"/>
    </row>
    <row r="79" spans="1:202" ht="18">
      <c r="A79" s="9"/>
      <c r="B79" s="49">
        <v>2024</v>
      </c>
      <c r="C79" s="79" t="s">
        <v>40</v>
      </c>
      <c r="D79" s="79" t="s">
        <v>40</v>
      </c>
      <c r="E79" s="79" t="s">
        <v>40</v>
      </c>
      <c r="F79" s="79" t="s">
        <v>40</v>
      </c>
      <c r="G79" s="79" t="s">
        <v>40</v>
      </c>
      <c r="H79" s="79" t="s">
        <v>40</v>
      </c>
      <c r="I79" s="79" t="s">
        <v>40</v>
      </c>
      <c r="J79" s="79" t="s">
        <v>40</v>
      </c>
      <c r="K79" s="80" t="s">
        <v>40</v>
      </c>
      <c r="L79" s="36"/>
      <c r="M79" s="36"/>
      <c r="N79" s="36"/>
      <c r="O79" s="36"/>
      <c r="P79" s="36"/>
      <c r="Q79" s="36"/>
      <c r="R79" s="36"/>
      <c r="S79" s="36"/>
      <c r="T79" s="36">
        <f t="shared" si="291"/>
        <v>121224.95000000001</v>
      </c>
      <c r="U79" s="36">
        <f t="shared" si="305"/>
        <v>126884.1</v>
      </c>
      <c r="V79" s="36">
        <f t="shared" si="319"/>
        <v>132543.25</v>
      </c>
      <c r="W79" s="36">
        <f t="shared" si="333"/>
        <v>138500.25</v>
      </c>
      <c r="X79" s="36">
        <f t="shared" si="347"/>
        <v>144755.1</v>
      </c>
      <c r="Y79" s="47">
        <f t="shared" si="357"/>
        <v>151605.65000000002</v>
      </c>
      <c r="Z79" s="36"/>
      <c r="AA79" s="36"/>
      <c r="AB79" s="36"/>
      <c r="AC79" s="36"/>
      <c r="AD79" s="36"/>
      <c r="AE79" s="36"/>
      <c r="AF79" s="36"/>
      <c r="AG79" s="36">
        <f t="shared" si="292"/>
        <v>44081.8</v>
      </c>
      <c r="AH79" s="36">
        <f t="shared" si="306"/>
        <v>45571.05</v>
      </c>
      <c r="AI79" s="36">
        <f t="shared" si="320"/>
        <v>46762.450000000004</v>
      </c>
      <c r="AJ79" s="36">
        <f t="shared" si="334"/>
        <v>48251.700000000004</v>
      </c>
      <c r="AK79" s="36">
        <f t="shared" si="348"/>
        <v>49740.950000000004</v>
      </c>
      <c r="AL79" s="47">
        <f t="shared" si="358"/>
        <v>51230.200000000004</v>
      </c>
      <c r="AM79" s="36"/>
      <c r="AN79" s="36"/>
      <c r="AO79" s="36"/>
      <c r="AP79" s="36"/>
      <c r="AQ79" s="36"/>
      <c r="AR79" s="36"/>
      <c r="AS79" s="36"/>
      <c r="AT79" s="36">
        <f t="shared" si="293"/>
        <v>573063.4</v>
      </c>
      <c r="AU79" s="36">
        <f t="shared" si="307"/>
        <v>602848.4</v>
      </c>
      <c r="AV79" s="36">
        <f t="shared" si="321"/>
        <v>634122.65</v>
      </c>
      <c r="AW79" s="36">
        <f t="shared" si="335"/>
        <v>667184</v>
      </c>
      <c r="AX79" s="36">
        <f t="shared" si="349"/>
        <v>701734.6000000001</v>
      </c>
      <c r="AY79" s="47">
        <v>0</v>
      </c>
      <c r="AZ79" s="36"/>
      <c r="BA79" s="36"/>
      <c r="BB79" s="36"/>
      <c r="BC79" s="36"/>
      <c r="BD79" s="36"/>
      <c r="BE79" s="36"/>
      <c r="BF79" s="36"/>
      <c r="BG79" s="36">
        <f t="shared" si="294"/>
        <v>190921.85</v>
      </c>
      <c r="BH79" s="36">
        <f t="shared" si="308"/>
        <v>201048.75000000003</v>
      </c>
      <c r="BI79" s="36">
        <f t="shared" si="322"/>
        <v>211473.50000000003</v>
      </c>
      <c r="BJ79" s="36">
        <f t="shared" si="336"/>
        <v>222493.95</v>
      </c>
      <c r="BK79" s="36">
        <f t="shared" si="350"/>
        <v>233812.25000000003</v>
      </c>
      <c r="BL79" s="47">
        <v>0</v>
      </c>
      <c r="BM79" s="36"/>
      <c r="BN79" s="36"/>
      <c r="BO79" s="36"/>
      <c r="BP79" s="36"/>
      <c r="BQ79" s="36"/>
      <c r="BR79" s="36"/>
      <c r="BS79" s="36"/>
      <c r="BT79" s="36">
        <f t="shared" si="295"/>
        <v>83100.15000000001</v>
      </c>
      <c r="BU79" s="36">
        <f t="shared" si="309"/>
        <v>91737.8</v>
      </c>
      <c r="BV79" s="36">
        <f t="shared" si="323"/>
        <v>100971.15000000001</v>
      </c>
      <c r="BW79" s="36">
        <f t="shared" si="337"/>
        <v>111395.90000000001</v>
      </c>
      <c r="BX79" s="36">
        <f t="shared" si="351"/>
        <v>122714.20000000001</v>
      </c>
      <c r="BY79" s="47">
        <v>0</v>
      </c>
      <c r="BZ79" s="36"/>
      <c r="CA79" s="36"/>
      <c r="CB79" s="36"/>
      <c r="CC79" s="36"/>
      <c r="CD79" s="36"/>
      <c r="CE79" s="36"/>
      <c r="CF79" s="36"/>
      <c r="CG79" s="36">
        <f t="shared" si="296"/>
        <v>27700.050000000003</v>
      </c>
      <c r="CH79" s="36">
        <f t="shared" si="310"/>
        <v>30678.550000000003</v>
      </c>
      <c r="CI79" s="36">
        <f t="shared" si="324"/>
        <v>33657.05</v>
      </c>
      <c r="CJ79" s="36">
        <f t="shared" si="338"/>
        <v>37231.25</v>
      </c>
      <c r="CK79" s="36">
        <f t="shared" si="352"/>
        <v>40805.450000000004</v>
      </c>
      <c r="CL79" s="47">
        <v>0</v>
      </c>
      <c r="CM79" s="36"/>
      <c r="CN79" s="36"/>
      <c r="CO79" s="36"/>
      <c r="CP79" s="36"/>
      <c r="CQ79" s="36"/>
      <c r="CR79" s="36"/>
      <c r="CS79" s="36"/>
      <c r="CT79" s="36">
        <f t="shared" si="297"/>
        <v>42294.700000000004</v>
      </c>
      <c r="CU79" s="36">
        <f t="shared" si="311"/>
        <v>44379.65</v>
      </c>
      <c r="CV79" s="36">
        <f t="shared" si="325"/>
        <v>46762.450000000004</v>
      </c>
      <c r="CW79" s="36">
        <f t="shared" si="339"/>
        <v>49145.25000000001</v>
      </c>
      <c r="CX79" s="36">
        <f t="shared" si="353"/>
        <v>51825.9</v>
      </c>
      <c r="CY79" s="36">
        <v>0</v>
      </c>
      <c r="CZ79" s="36">
        <f t="shared" si="180"/>
        <v>6254254.300000002</v>
      </c>
      <c r="DA79" s="38">
        <f>CZ79*(1+$E$10)^-22</f>
        <v>2138016.0261979513</v>
      </c>
      <c r="DB79" s="78"/>
      <c r="DC79" s="36"/>
      <c r="DD79" s="36"/>
      <c r="DE79" s="36"/>
      <c r="DF79" s="36"/>
      <c r="DG79" s="36"/>
      <c r="DH79" s="36"/>
      <c r="DI79" s="36"/>
      <c r="DJ79" s="36">
        <f t="shared" si="298"/>
        <v>0</v>
      </c>
      <c r="DK79" s="36">
        <f t="shared" si="312"/>
        <v>0</v>
      </c>
      <c r="DL79" s="36">
        <f t="shared" si="326"/>
        <v>0</v>
      </c>
      <c r="DM79" s="36">
        <f t="shared" si="340"/>
        <v>0</v>
      </c>
      <c r="DN79" s="36">
        <f t="shared" si="354"/>
        <v>0</v>
      </c>
      <c r="DO79" s="47">
        <f t="shared" si="355"/>
        <v>0</v>
      </c>
      <c r="DP79" s="36"/>
      <c r="DQ79" s="36"/>
      <c r="DR79" s="36"/>
      <c r="DS79" s="36"/>
      <c r="DT79" s="36"/>
      <c r="DU79" s="36"/>
      <c r="DV79" s="36"/>
      <c r="DW79" s="36">
        <f t="shared" si="285"/>
        <v>0</v>
      </c>
      <c r="DX79" s="36">
        <f t="shared" si="299"/>
        <v>0</v>
      </c>
      <c r="DY79" s="36">
        <f t="shared" si="313"/>
        <v>0</v>
      </c>
      <c r="DZ79" s="36">
        <f t="shared" si="327"/>
        <v>0</v>
      </c>
      <c r="EA79" s="36">
        <f t="shared" si="341"/>
        <v>0</v>
      </c>
      <c r="EB79" s="47">
        <f t="shared" si="356"/>
        <v>0</v>
      </c>
      <c r="EC79" s="36"/>
      <c r="ED79" s="36"/>
      <c r="EE79" s="36"/>
      <c r="EF79" s="36"/>
      <c r="EG79" s="36"/>
      <c r="EH79" s="36"/>
      <c r="EI79" s="36"/>
      <c r="EJ79" s="36">
        <f t="shared" si="286"/>
        <v>0</v>
      </c>
      <c r="EK79" s="36">
        <f t="shared" si="300"/>
        <v>0</v>
      </c>
      <c r="EL79" s="36">
        <f t="shared" si="314"/>
        <v>0</v>
      </c>
      <c r="EM79" s="36">
        <f t="shared" si="328"/>
        <v>0</v>
      </c>
      <c r="EN79" s="36">
        <f t="shared" si="342"/>
        <v>0</v>
      </c>
      <c r="EO79" s="47">
        <v>0</v>
      </c>
      <c r="EP79" s="9"/>
      <c r="EQ79" s="36"/>
      <c r="ER79" s="36"/>
      <c r="ES79" s="36"/>
      <c r="ET79" s="36"/>
      <c r="EU79" s="36"/>
      <c r="EV79" s="36"/>
      <c r="EW79" s="36">
        <f t="shared" si="287"/>
        <v>0</v>
      </c>
      <c r="EX79" s="36">
        <f t="shared" si="301"/>
        <v>0</v>
      </c>
      <c r="EY79" s="36">
        <f t="shared" si="315"/>
        <v>0</v>
      </c>
      <c r="EZ79" s="36">
        <f t="shared" si="329"/>
        <v>0</v>
      </c>
      <c r="FA79" s="36">
        <f t="shared" si="343"/>
        <v>0</v>
      </c>
      <c r="FB79" s="47">
        <v>0</v>
      </c>
      <c r="FC79" s="36"/>
      <c r="FD79" s="36"/>
      <c r="FE79" s="36"/>
      <c r="FF79" s="36"/>
      <c r="FG79" s="36"/>
      <c r="FH79" s="36"/>
      <c r="FI79" s="36"/>
      <c r="FJ79" s="36">
        <f t="shared" si="288"/>
        <v>0</v>
      </c>
      <c r="FK79" s="36">
        <f t="shared" si="302"/>
        <v>0</v>
      </c>
      <c r="FL79" s="36">
        <f t="shared" si="316"/>
        <v>0</v>
      </c>
      <c r="FM79" s="36">
        <f t="shared" si="330"/>
        <v>0</v>
      </c>
      <c r="FN79" s="36">
        <f t="shared" si="344"/>
        <v>0</v>
      </c>
      <c r="FO79" s="47">
        <v>0</v>
      </c>
      <c r="FP79" s="36"/>
      <c r="FQ79" s="36"/>
      <c r="FR79" s="36"/>
      <c r="FS79" s="36"/>
      <c r="FT79" s="36"/>
      <c r="FU79" s="36"/>
      <c r="FV79" s="36"/>
      <c r="FW79" s="36">
        <f t="shared" si="289"/>
        <v>0</v>
      </c>
      <c r="FX79" s="36">
        <f t="shared" si="303"/>
        <v>0</v>
      </c>
      <c r="FY79" s="36">
        <f t="shared" si="317"/>
        <v>0</v>
      </c>
      <c r="FZ79" s="36">
        <f t="shared" si="331"/>
        <v>0</v>
      </c>
      <c r="GA79" s="36">
        <f t="shared" si="345"/>
        <v>0</v>
      </c>
      <c r="GB79" s="47">
        <v>0</v>
      </c>
      <c r="GC79" s="36"/>
      <c r="GD79" s="36"/>
      <c r="GE79" s="36"/>
      <c r="GF79" s="36"/>
      <c r="GG79" s="36"/>
      <c r="GH79" s="36"/>
      <c r="GI79" s="36"/>
      <c r="GJ79" s="36">
        <f t="shared" si="290"/>
        <v>0</v>
      </c>
      <c r="GK79" s="36">
        <f t="shared" si="304"/>
        <v>0</v>
      </c>
      <c r="GL79" s="36">
        <f t="shared" si="318"/>
        <v>0</v>
      </c>
      <c r="GM79" s="36">
        <f t="shared" si="332"/>
        <v>0</v>
      </c>
      <c r="GN79" s="36">
        <f t="shared" si="346"/>
        <v>0</v>
      </c>
      <c r="GO79" s="47">
        <v>0</v>
      </c>
      <c r="GP79" s="36">
        <f>SUM(DC79:GO79)</f>
        <v>0</v>
      </c>
      <c r="GQ79" s="38">
        <f>GP79*(1+$E$11)^-22</f>
        <v>0</v>
      </c>
      <c r="GR79" s="38">
        <f t="shared" si="204"/>
        <v>6254254.300000002</v>
      </c>
      <c r="GS79" s="52">
        <f t="shared" si="187"/>
        <v>2138016.0261979513</v>
      </c>
      <c r="GT79" s="9"/>
    </row>
    <row r="80" spans="1:202" ht="18">
      <c r="A80" s="9"/>
      <c r="B80" s="49">
        <v>2025</v>
      </c>
      <c r="C80" s="79" t="s">
        <v>40</v>
      </c>
      <c r="D80" s="79" t="s">
        <v>40</v>
      </c>
      <c r="E80" s="79" t="s">
        <v>40</v>
      </c>
      <c r="F80" s="79" t="s">
        <v>40</v>
      </c>
      <c r="G80" s="79" t="s">
        <v>40</v>
      </c>
      <c r="H80" s="79" t="s">
        <v>40</v>
      </c>
      <c r="I80" s="79" t="s">
        <v>40</v>
      </c>
      <c r="J80" s="79" t="s">
        <v>40</v>
      </c>
      <c r="K80" s="80" t="s">
        <v>40</v>
      </c>
      <c r="L80" s="36"/>
      <c r="M80" s="36"/>
      <c r="N80" s="36"/>
      <c r="O80" s="36"/>
      <c r="P80" s="36"/>
      <c r="Q80" s="36"/>
      <c r="R80" s="36"/>
      <c r="S80" s="36"/>
      <c r="T80" s="36"/>
      <c r="U80" s="36">
        <f t="shared" si="305"/>
        <v>126884.1</v>
      </c>
      <c r="V80" s="36">
        <f t="shared" si="319"/>
        <v>132543.25</v>
      </c>
      <c r="W80" s="36">
        <f t="shared" si="333"/>
        <v>138500.25</v>
      </c>
      <c r="X80" s="36">
        <f t="shared" si="347"/>
        <v>144755.1</v>
      </c>
      <c r="Y80" s="47">
        <f t="shared" si="357"/>
        <v>151605.65000000002</v>
      </c>
      <c r="Z80" s="36"/>
      <c r="AA80" s="36"/>
      <c r="AB80" s="36"/>
      <c r="AC80" s="36"/>
      <c r="AD80" s="36"/>
      <c r="AE80" s="36"/>
      <c r="AF80" s="36"/>
      <c r="AG80" s="36"/>
      <c r="AH80" s="36">
        <f t="shared" si="306"/>
        <v>45571.05</v>
      </c>
      <c r="AI80" s="36">
        <f t="shared" si="320"/>
        <v>46762.450000000004</v>
      </c>
      <c r="AJ80" s="36">
        <f t="shared" si="334"/>
        <v>48251.700000000004</v>
      </c>
      <c r="AK80" s="36">
        <f t="shared" si="348"/>
        <v>49740.950000000004</v>
      </c>
      <c r="AL80" s="47">
        <f t="shared" si="358"/>
        <v>51230.200000000004</v>
      </c>
      <c r="AM80" s="36"/>
      <c r="AN80" s="36"/>
      <c r="AO80" s="36"/>
      <c r="AP80" s="36"/>
      <c r="AQ80" s="36"/>
      <c r="AR80" s="36"/>
      <c r="AS80" s="36"/>
      <c r="AT80" s="36"/>
      <c r="AU80" s="36">
        <f t="shared" si="307"/>
        <v>602848.4</v>
      </c>
      <c r="AV80" s="36">
        <f t="shared" si="321"/>
        <v>634122.65</v>
      </c>
      <c r="AW80" s="36">
        <f t="shared" si="335"/>
        <v>667184</v>
      </c>
      <c r="AX80" s="36">
        <f t="shared" si="349"/>
        <v>701734.6000000001</v>
      </c>
      <c r="AY80" s="47">
        <v>0</v>
      </c>
      <c r="AZ80" s="36"/>
      <c r="BA80" s="36"/>
      <c r="BB80" s="36"/>
      <c r="BC80" s="36"/>
      <c r="BD80" s="36"/>
      <c r="BE80" s="36"/>
      <c r="BF80" s="36"/>
      <c r="BG80" s="36"/>
      <c r="BH80" s="36">
        <f t="shared" si="308"/>
        <v>201048.75000000003</v>
      </c>
      <c r="BI80" s="36">
        <f t="shared" si="322"/>
        <v>211473.50000000003</v>
      </c>
      <c r="BJ80" s="36">
        <f t="shared" si="336"/>
        <v>222493.95</v>
      </c>
      <c r="BK80" s="36">
        <f t="shared" si="350"/>
        <v>233812.25000000003</v>
      </c>
      <c r="BL80" s="47">
        <v>0</v>
      </c>
      <c r="BM80" s="36"/>
      <c r="BN80" s="36"/>
      <c r="BO80" s="36"/>
      <c r="BP80" s="36"/>
      <c r="BQ80" s="36"/>
      <c r="BR80" s="36"/>
      <c r="BS80" s="36"/>
      <c r="BT80" s="36"/>
      <c r="BU80" s="36">
        <f t="shared" si="309"/>
        <v>91737.8</v>
      </c>
      <c r="BV80" s="36">
        <f t="shared" si="323"/>
        <v>100971.15000000001</v>
      </c>
      <c r="BW80" s="36">
        <f t="shared" si="337"/>
        <v>111395.90000000001</v>
      </c>
      <c r="BX80" s="36">
        <f t="shared" si="351"/>
        <v>122714.20000000001</v>
      </c>
      <c r="BY80" s="47">
        <v>0</v>
      </c>
      <c r="BZ80" s="36"/>
      <c r="CA80" s="36"/>
      <c r="CB80" s="36"/>
      <c r="CC80" s="36"/>
      <c r="CD80" s="36"/>
      <c r="CE80" s="36"/>
      <c r="CF80" s="36"/>
      <c r="CG80" s="36"/>
      <c r="CH80" s="36">
        <f t="shared" si="310"/>
        <v>30678.550000000003</v>
      </c>
      <c r="CI80" s="36">
        <f t="shared" si="324"/>
        <v>33657.05</v>
      </c>
      <c r="CJ80" s="36">
        <f t="shared" si="338"/>
        <v>37231.25</v>
      </c>
      <c r="CK80" s="36">
        <f t="shared" si="352"/>
        <v>40805.450000000004</v>
      </c>
      <c r="CL80" s="47">
        <v>0</v>
      </c>
      <c r="CM80" s="36"/>
      <c r="CN80" s="36"/>
      <c r="CO80" s="36"/>
      <c r="CP80" s="36"/>
      <c r="CQ80" s="36"/>
      <c r="CR80" s="36"/>
      <c r="CS80" s="36"/>
      <c r="CT80" s="36"/>
      <c r="CU80" s="36">
        <f t="shared" si="311"/>
        <v>44379.65</v>
      </c>
      <c r="CV80" s="36">
        <f t="shared" si="325"/>
        <v>46762.450000000004</v>
      </c>
      <c r="CW80" s="36">
        <f t="shared" si="339"/>
        <v>49145.25000000001</v>
      </c>
      <c r="CX80" s="36">
        <f t="shared" si="353"/>
        <v>51825.9</v>
      </c>
      <c r="CY80" s="36">
        <v>0</v>
      </c>
      <c r="CZ80" s="36">
        <f t="shared" si="180"/>
        <v>5171867.400000002</v>
      </c>
      <c r="DA80" s="38">
        <f>CZ80*(1+$E$10)^-23</f>
        <v>1683811.622825812</v>
      </c>
      <c r="DB80" s="78"/>
      <c r="DC80" s="36"/>
      <c r="DD80" s="36"/>
      <c r="DE80" s="36"/>
      <c r="DF80" s="36"/>
      <c r="DG80" s="36"/>
      <c r="DH80" s="36"/>
      <c r="DI80" s="36"/>
      <c r="DJ80" s="36"/>
      <c r="DK80" s="36">
        <f t="shared" si="312"/>
        <v>0</v>
      </c>
      <c r="DL80" s="36">
        <f t="shared" si="326"/>
        <v>0</v>
      </c>
      <c r="DM80" s="36">
        <f t="shared" si="340"/>
        <v>0</v>
      </c>
      <c r="DN80" s="36">
        <f t="shared" si="354"/>
        <v>0</v>
      </c>
      <c r="DO80" s="47">
        <f t="shared" si="355"/>
        <v>0</v>
      </c>
      <c r="DP80" s="36"/>
      <c r="DQ80" s="36"/>
      <c r="DR80" s="36"/>
      <c r="DS80" s="36"/>
      <c r="DT80" s="36"/>
      <c r="DU80" s="36"/>
      <c r="DV80" s="36"/>
      <c r="DW80" s="36"/>
      <c r="DX80" s="36">
        <f t="shared" si="299"/>
        <v>0</v>
      </c>
      <c r="DY80" s="36">
        <f t="shared" si="313"/>
        <v>0</v>
      </c>
      <c r="DZ80" s="36">
        <f t="shared" si="327"/>
        <v>0</v>
      </c>
      <c r="EA80" s="36">
        <f t="shared" si="341"/>
        <v>0</v>
      </c>
      <c r="EB80" s="47">
        <f t="shared" si="356"/>
        <v>0</v>
      </c>
      <c r="EC80" s="36"/>
      <c r="ED80" s="36"/>
      <c r="EE80" s="36"/>
      <c r="EF80" s="36"/>
      <c r="EG80" s="36"/>
      <c r="EH80" s="36"/>
      <c r="EI80" s="36"/>
      <c r="EJ80" s="36"/>
      <c r="EK80" s="36">
        <f t="shared" si="300"/>
        <v>0</v>
      </c>
      <c r="EL80" s="36">
        <f t="shared" si="314"/>
        <v>0</v>
      </c>
      <c r="EM80" s="36">
        <f t="shared" si="328"/>
        <v>0</v>
      </c>
      <c r="EN80" s="36">
        <f t="shared" si="342"/>
        <v>0</v>
      </c>
      <c r="EO80" s="47">
        <v>0</v>
      </c>
      <c r="EP80" s="9"/>
      <c r="EQ80" s="36"/>
      <c r="ER80" s="36"/>
      <c r="ES80" s="36"/>
      <c r="ET80" s="36"/>
      <c r="EU80" s="36"/>
      <c r="EV80" s="36"/>
      <c r="EW80" s="36"/>
      <c r="EX80" s="36">
        <f t="shared" si="301"/>
        <v>0</v>
      </c>
      <c r="EY80" s="36">
        <f t="shared" si="315"/>
        <v>0</v>
      </c>
      <c r="EZ80" s="36">
        <f t="shared" si="329"/>
        <v>0</v>
      </c>
      <c r="FA80" s="36">
        <f t="shared" si="343"/>
        <v>0</v>
      </c>
      <c r="FB80" s="47">
        <v>0</v>
      </c>
      <c r="FC80" s="36"/>
      <c r="FD80" s="36"/>
      <c r="FE80" s="36"/>
      <c r="FF80" s="36"/>
      <c r="FG80" s="36"/>
      <c r="FH80" s="36"/>
      <c r="FI80" s="36"/>
      <c r="FJ80" s="36"/>
      <c r="FK80" s="36">
        <f t="shared" si="302"/>
        <v>0</v>
      </c>
      <c r="FL80" s="36">
        <f t="shared" si="316"/>
        <v>0</v>
      </c>
      <c r="FM80" s="36">
        <f t="shared" si="330"/>
        <v>0</v>
      </c>
      <c r="FN80" s="36">
        <f t="shared" si="344"/>
        <v>0</v>
      </c>
      <c r="FO80" s="47">
        <v>0</v>
      </c>
      <c r="FP80" s="36"/>
      <c r="FQ80" s="36"/>
      <c r="FR80" s="36"/>
      <c r="FS80" s="36"/>
      <c r="FT80" s="36"/>
      <c r="FU80" s="36"/>
      <c r="FV80" s="36"/>
      <c r="FW80" s="36"/>
      <c r="FX80" s="36">
        <f t="shared" si="303"/>
        <v>0</v>
      </c>
      <c r="FY80" s="36">
        <f t="shared" si="317"/>
        <v>0</v>
      </c>
      <c r="FZ80" s="36">
        <f t="shared" si="331"/>
        <v>0</v>
      </c>
      <c r="GA80" s="36">
        <f t="shared" si="345"/>
        <v>0</v>
      </c>
      <c r="GB80" s="47">
        <v>0</v>
      </c>
      <c r="GC80" s="36"/>
      <c r="GD80" s="36"/>
      <c r="GE80" s="36"/>
      <c r="GF80" s="36"/>
      <c r="GG80" s="36"/>
      <c r="GH80" s="36"/>
      <c r="GI80" s="36"/>
      <c r="GJ80" s="36"/>
      <c r="GK80" s="36">
        <f t="shared" si="304"/>
        <v>0</v>
      </c>
      <c r="GL80" s="36">
        <f t="shared" si="318"/>
        <v>0</v>
      </c>
      <c r="GM80" s="36">
        <f t="shared" si="332"/>
        <v>0</v>
      </c>
      <c r="GN80" s="36">
        <f t="shared" si="346"/>
        <v>0</v>
      </c>
      <c r="GO80" s="47">
        <v>0</v>
      </c>
      <c r="GP80" s="36">
        <f>SUM(DC80:GO80)</f>
        <v>0</v>
      </c>
      <c r="GQ80" s="38">
        <f>GP80*(1+$E$11)^-23</f>
        <v>0</v>
      </c>
      <c r="GR80" s="38">
        <f t="shared" si="204"/>
        <v>5171867.400000002</v>
      </c>
      <c r="GS80" s="52">
        <f t="shared" si="187"/>
        <v>1683811.622825812</v>
      </c>
      <c r="GT80" s="9"/>
    </row>
    <row r="81" spans="1:202" ht="18">
      <c r="A81" s="9"/>
      <c r="B81" s="49">
        <v>2026</v>
      </c>
      <c r="C81" s="79" t="s">
        <v>40</v>
      </c>
      <c r="D81" s="79" t="s">
        <v>40</v>
      </c>
      <c r="E81" s="79" t="s">
        <v>40</v>
      </c>
      <c r="F81" s="79" t="s">
        <v>40</v>
      </c>
      <c r="G81" s="79" t="s">
        <v>40</v>
      </c>
      <c r="H81" s="79" t="s">
        <v>40</v>
      </c>
      <c r="I81" s="79" t="s">
        <v>40</v>
      </c>
      <c r="J81" s="79" t="s">
        <v>40</v>
      </c>
      <c r="K81" s="80" t="s">
        <v>40</v>
      </c>
      <c r="L81" s="36"/>
      <c r="M81" s="36"/>
      <c r="N81" s="36"/>
      <c r="O81" s="36"/>
      <c r="P81" s="36"/>
      <c r="Q81" s="36"/>
      <c r="R81" s="36"/>
      <c r="S81" s="36"/>
      <c r="T81" s="36"/>
      <c r="U81" s="36"/>
      <c r="V81" s="36">
        <f t="shared" si="319"/>
        <v>132543.25</v>
      </c>
      <c r="W81" s="36">
        <f t="shared" si="333"/>
        <v>138500.25</v>
      </c>
      <c r="X81" s="36">
        <f t="shared" si="347"/>
        <v>144755.1</v>
      </c>
      <c r="Y81" s="47">
        <f t="shared" si="357"/>
        <v>151605.65000000002</v>
      </c>
      <c r="Z81" s="36"/>
      <c r="AA81" s="36"/>
      <c r="AB81" s="36"/>
      <c r="AC81" s="36"/>
      <c r="AD81" s="36"/>
      <c r="AE81" s="36"/>
      <c r="AF81" s="36"/>
      <c r="AG81" s="36"/>
      <c r="AH81" s="36"/>
      <c r="AI81" s="36">
        <f t="shared" si="320"/>
        <v>46762.450000000004</v>
      </c>
      <c r="AJ81" s="36">
        <f t="shared" si="334"/>
        <v>48251.700000000004</v>
      </c>
      <c r="AK81" s="36">
        <f t="shared" si="348"/>
        <v>49740.950000000004</v>
      </c>
      <c r="AL81" s="47">
        <f t="shared" si="358"/>
        <v>51230.200000000004</v>
      </c>
      <c r="AM81" s="36"/>
      <c r="AN81" s="36"/>
      <c r="AO81" s="36"/>
      <c r="AP81" s="36"/>
      <c r="AQ81" s="36"/>
      <c r="AR81" s="36"/>
      <c r="AS81" s="36"/>
      <c r="AT81" s="36"/>
      <c r="AU81" s="36"/>
      <c r="AV81" s="36">
        <f t="shared" si="321"/>
        <v>634122.65</v>
      </c>
      <c r="AW81" s="36">
        <f t="shared" si="335"/>
        <v>667184</v>
      </c>
      <c r="AX81" s="36">
        <f t="shared" si="349"/>
        <v>701734.6000000001</v>
      </c>
      <c r="AY81" s="47">
        <v>0</v>
      </c>
      <c r="AZ81" s="36"/>
      <c r="BA81" s="36"/>
      <c r="BB81" s="36"/>
      <c r="BC81" s="36"/>
      <c r="BD81" s="36"/>
      <c r="BE81" s="36"/>
      <c r="BF81" s="36"/>
      <c r="BG81" s="36"/>
      <c r="BH81" s="36"/>
      <c r="BI81" s="36">
        <f t="shared" si="322"/>
        <v>211473.50000000003</v>
      </c>
      <c r="BJ81" s="36">
        <f t="shared" si="336"/>
        <v>222493.95</v>
      </c>
      <c r="BK81" s="36">
        <f t="shared" si="350"/>
        <v>233812.25000000003</v>
      </c>
      <c r="BL81" s="47">
        <v>0</v>
      </c>
      <c r="BM81" s="36"/>
      <c r="BN81" s="36"/>
      <c r="BO81" s="36"/>
      <c r="BP81" s="36"/>
      <c r="BQ81" s="36"/>
      <c r="BR81" s="36"/>
      <c r="BS81" s="36"/>
      <c r="BT81" s="36"/>
      <c r="BU81" s="36"/>
      <c r="BV81" s="36">
        <f t="shared" si="323"/>
        <v>100971.15000000001</v>
      </c>
      <c r="BW81" s="36">
        <f t="shared" si="337"/>
        <v>111395.90000000001</v>
      </c>
      <c r="BX81" s="36">
        <f t="shared" si="351"/>
        <v>122714.20000000001</v>
      </c>
      <c r="BY81" s="47">
        <v>0</v>
      </c>
      <c r="BZ81" s="36"/>
      <c r="CA81" s="36"/>
      <c r="CB81" s="36"/>
      <c r="CC81" s="36"/>
      <c r="CD81" s="36"/>
      <c r="CE81" s="36"/>
      <c r="CF81" s="36"/>
      <c r="CG81" s="36"/>
      <c r="CH81" s="36"/>
      <c r="CI81" s="36">
        <f t="shared" si="324"/>
        <v>33657.05</v>
      </c>
      <c r="CJ81" s="36">
        <f t="shared" si="338"/>
        <v>37231.25</v>
      </c>
      <c r="CK81" s="36">
        <f t="shared" si="352"/>
        <v>40805.450000000004</v>
      </c>
      <c r="CL81" s="47">
        <v>0</v>
      </c>
      <c r="CM81" s="36"/>
      <c r="CN81" s="36"/>
      <c r="CO81" s="36"/>
      <c r="CP81" s="36"/>
      <c r="CQ81" s="36"/>
      <c r="CR81" s="36"/>
      <c r="CS81" s="36"/>
      <c r="CT81" s="36"/>
      <c r="CU81" s="36"/>
      <c r="CV81" s="36">
        <f t="shared" si="325"/>
        <v>46762.450000000004</v>
      </c>
      <c r="CW81" s="36">
        <f t="shared" si="339"/>
        <v>49145.25000000001</v>
      </c>
      <c r="CX81" s="36">
        <f t="shared" si="353"/>
        <v>51825.9</v>
      </c>
      <c r="CY81" s="36">
        <v>0</v>
      </c>
      <c r="CZ81" s="36">
        <f t="shared" si="180"/>
        <v>4028719.1</v>
      </c>
      <c r="DA81" s="38">
        <f>CZ81*(1+$E$10)^-24</f>
        <v>1249176.5124527994</v>
      </c>
      <c r="DB81" s="78"/>
      <c r="DC81" s="36"/>
      <c r="DD81" s="36"/>
      <c r="DE81" s="36"/>
      <c r="DF81" s="36"/>
      <c r="DG81" s="36"/>
      <c r="DH81" s="36"/>
      <c r="DI81" s="36"/>
      <c r="DJ81" s="36"/>
      <c r="DK81" s="36"/>
      <c r="DL81" s="36">
        <f t="shared" si="326"/>
        <v>0</v>
      </c>
      <c r="DM81" s="36">
        <f t="shared" si="340"/>
        <v>0</v>
      </c>
      <c r="DN81" s="36">
        <f t="shared" si="354"/>
        <v>0</v>
      </c>
      <c r="DO81" s="47">
        <f t="shared" si="355"/>
        <v>0</v>
      </c>
      <c r="DP81" s="36"/>
      <c r="DQ81" s="36"/>
      <c r="DR81" s="36"/>
      <c r="DS81" s="36"/>
      <c r="DT81" s="36"/>
      <c r="DU81" s="36"/>
      <c r="DV81" s="36"/>
      <c r="DW81" s="36"/>
      <c r="DX81" s="36"/>
      <c r="DY81" s="36">
        <f t="shared" si="313"/>
        <v>0</v>
      </c>
      <c r="DZ81" s="36">
        <f t="shared" si="327"/>
        <v>0</v>
      </c>
      <c r="EA81" s="36">
        <f t="shared" si="341"/>
        <v>0</v>
      </c>
      <c r="EB81" s="47">
        <f t="shared" si="356"/>
        <v>0</v>
      </c>
      <c r="EC81" s="36"/>
      <c r="ED81" s="36"/>
      <c r="EE81" s="36"/>
      <c r="EF81" s="36"/>
      <c r="EG81" s="36"/>
      <c r="EH81" s="36"/>
      <c r="EI81" s="36"/>
      <c r="EJ81" s="36"/>
      <c r="EK81" s="36"/>
      <c r="EL81" s="36">
        <f t="shared" si="314"/>
        <v>0</v>
      </c>
      <c r="EM81" s="36">
        <f t="shared" si="328"/>
        <v>0</v>
      </c>
      <c r="EN81" s="36">
        <f t="shared" si="342"/>
        <v>0</v>
      </c>
      <c r="EO81" s="47">
        <v>0</v>
      </c>
      <c r="EP81" s="9"/>
      <c r="EQ81" s="36"/>
      <c r="ER81" s="36"/>
      <c r="ES81" s="36"/>
      <c r="ET81" s="36"/>
      <c r="EU81" s="36"/>
      <c r="EV81" s="36"/>
      <c r="EW81" s="36"/>
      <c r="EX81" s="36"/>
      <c r="EY81" s="36">
        <f t="shared" si="315"/>
        <v>0</v>
      </c>
      <c r="EZ81" s="36">
        <f t="shared" si="329"/>
        <v>0</v>
      </c>
      <c r="FA81" s="36">
        <f t="shared" si="343"/>
        <v>0</v>
      </c>
      <c r="FB81" s="47">
        <v>0</v>
      </c>
      <c r="FC81" s="36"/>
      <c r="FD81" s="36"/>
      <c r="FE81" s="36"/>
      <c r="FF81" s="36"/>
      <c r="FG81" s="36"/>
      <c r="FH81" s="36"/>
      <c r="FI81" s="36"/>
      <c r="FJ81" s="36"/>
      <c r="FK81" s="36"/>
      <c r="FL81" s="36">
        <f t="shared" si="316"/>
        <v>0</v>
      </c>
      <c r="FM81" s="36">
        <f t="shared" si="330"/>
        <v>0</v>
      </c>
      <c r="FN81" s="36">
        <f t="shared" si="344"/>
        <v>0</v>
      </c>
      <c r="FO81" s="47">
        <v>0</v>
      </c>
      <c r="FP81" s="36"/>
      <c r="FQ81" s="36"/>
      <c r="FR81" s="36"/>
      <c r="FS81" s="36"/>
      <c r="FT81" s="36"/>
      <c r="FU81" s="36"/>
      <c r="FV81" s="36"/>
      <c r="FW81" s="36"/>
      <c r="FX81" s="36"/>
      <c r="FY81" s="36">
        <f t="shared" si="317"/>
        <v>0</v>
      </c>
      <c r="FZ81" s="36">
        <f t="shared" si="331"/>
        <v>0</v>
      </c>
      <c r="GA81" s="36">
        <f t="shared" si="345"/>
        <v>0</v>
      </c>
      <c r="GB81" s="47">
        <v>0</v>
      </c>
      <c r="GC81" s="36"/>
      <c r="GD81" s="36"/>
      <c r="GE81" s="36"/>
      <c r="GF81" s="36"/>
      <c r="GG81" s="36"/>
      <c r="GH81" s="36"/>
      <c r="GI81" s="36"/>
      <c r="GJ81" s="36"/>
      <c r="GK81" s="36"/>
      <c r="GL81" s="36">
        <f t="shared" si="318"/>
        <v>0</v>
      </c>
      <c r="GM81" s="36">
        <f t="shared" si="332"/>
        <v>0</v>
      </c>
      <c r="GN81" s="36">
        <f t="shared" si="346"/>
        <v>0</v>
      </c>
      <c r="GO81" s="47">
        <v>0</v>
      </c>
      <c r="GP81" s="36">
        <f>SUM(DC81:GO81)</f>
        <v>0</v>
      </c>
      <c r="GQ81" s="38">
        <f>GP81*(1+$E$11)^-24</f>
        <v>0</v>
      </c>
      <c r="GR81" s="38">
        <f t="shared" si="204"/>
        <v>4028719.1</v>
      </c>
      <c r="GS81" s="52">
        <f t="shared" si="187"/>
        <v>1249176.5124527994</v>
      </c>
      <c r="GT81" s="9"/>
    </row>
    <row r="82" spans="1:202" ht="18">
      <c r="A82" s="9"/>
      <c r="B82" s="49">
        <v>2027</v>
      </c>
      <c r="C82" s="79" t="s">
        <v>40</v>
      </c>
      <c r="D82" s="79" t="s">
        <v>40</v>
      </c>
      <c r="E82" s="79" t="s">
        <v>40</v>
      </c>
      <c r="F82" s="79" t="s">
        <v>40</v>
      </c>
      <c r="G82" s="79" t="s">
        <v>40</v>
      </c>
      <c r="H82" s="79" t="s">
        <v>40</v>
      </c>
      <c r="I82" s="79" t="s">
        <v>40</v>
      </c>
      <c r="J82" s="79" t="s">
        <v>40</v>
      </c>
      <c r="K82" s="80" t="s">
        <v>40</v>
      </c>
      <c r="L82" s="36"/>
      <c r="M82" s="36"/>
      <c r="N82" s="36"/>
      <c r="O82" s="36"/>
      <c r="P82" s="36"/>
      <c r="Q82" s="36"/>
      <c r="R82" s="36"/>
      <c r="S82" s="36"/>
      <c r="T82" s="36"/>
      <c r="U82" s="36"/>
      <c r="V82" s="36"/>
      <c r="W82" s="36">
        <f t="shared" si="333"/>
        <v>138500.25</v>
      </c>
      <c r="X82" s="36">
        <f t="shared" si="347"/>
        <v>144755.1</v>
      </c>
      <c r="Y82" s="47">
        <f t="shared" si="357"/>
        <v>151605.65000000002</v>
      </c>
      <c r="Z82" s="36"/>
      <c r="AA82" s="36"/>
      <c r="AB82" s="36"/>
      <c r="AC82" s="36"/>
      <c r="AD82" s="36"/>
      <c r="AE82" s="36"/>
      <c r="AF82" s="36"/>
      <c r="AG82" s="36"/>
      <c r="AH82" s="36"/>
      <c r="AI82" s="36"/>
      <c r="AJ82" s="36">
        <f t="shared" si="334"/>
        <v>48251.700000000004</v>
      </c>
      <c r="AK82" s="36">
        <f t="shared" si="348"/>
        <v>49740.950000000004</v>
      </c>
      <c r="AL82" s="47">
        <f t="shared" si="358"/>
        <v>51230.200000000004</v>
      </c>
      <c r="AM82" s="36"/>
      <c r="AN82" s="36"/>
      <c r="AO82" s="36"/>
      <c r="AP82" s="36"/>
      <c r="AQ82" s="36"/>
      <c r="AR82" s="36"/>
      <c r="AS82" s="36"/>
      <c r="AT82" s="36"/>
      <c r="AU82" s="36"/>
      <c r="AV82" s="36"/>
      <c r="AW82" s="36">
        <f t="shared" si="335"/>
        <v>667184</v>
      </c>
      <c r="AX82" s="36">
        <f t="shared" si="349"/>
        <v>701734.6000000001</v>
      </c>
      <c r="AY82" s="47">
        <v>0</v>
      </c>
      <c r="AZ82" s="36"/>
      <c r="BA82" s="36"/>
      <c r="BB82" s="36"/>
      <c r="BC82" s="36"/>
      <c r="BD82" s="36"/>
      <c r="BE82" s="36"/>
      <c r="BF82" s="36"/>
      <c r="BG82" s="36"/>
      <c r="BH82" s="36"/>
      <c r="BI82" s="36"/>
      <c r="BJ82" s="36">
        <f t="shared" si="336"/>
        <v>222493.95</v>
      </c>
      <c r="BK82" s="36">
        <f t="shared" si="350"/>
        <v>233812.25000000003</v>
      </c>
      <c r="BL82" s="47">
        <v>0</v>
      </c>
      <c r="BM82" s="36"/>
      <c r="BN82" s="36"/>
      <c r="BO82" s="36"/>
      <c r="BP82" s="36"/>
      <c r="BQ82" s="36"/>
      <c r="BR82" s="36"/>
      <c r="BS82" s="36"/>
      <c r="BT82" s="36"/>
      <c r="BU82" s="36"/>
      <c r="BV82" s="36"/>
      <c r="BW82" s="36">
        <f t="shared" si="337"/>
        <v>111395.90000000001</v>
      </c>
      <c r="BX82" s="36">
        <f t="shared" si="351"/>
        <v>122714.20000000001</v>
      </c>
      <c r="BY82" s="47">
        <v>0</v>
      </c>
      <c r="BZ82" s="36"/>
      <c r="CA82" s="36"/>
      <c r="CB82" s="36"/>
      <c r="CC82" s="36"/>
      <c r="CD82" s="36"/>
      <c r="CE82" s="36"/>
      <c r="CF82" s="36"/>
      <c r="CG82" s="36"/>
      <c r="CH82" s="36"/>
      <c r="CI82" s="36"/>
      <c r="CJ82" s="36">
        <f t="shared" si="338"/>
        <v>37231.25</v>
      </c>
      <c r="CK82" s="36">
        <f t="shared" si="352"/>
        <v>40805.450000000004</v>
      </c>
      <c r="CL82" s="47">
        <v>0</v>
      </c>
      <c r="CM82" s="36"/>
      <c r="CN82" s="36"/>
      <c r="CO82" s="36"/>
      <c r="CP82" s="36"/>
      <c r="CQ82" s="36"/>
      <c r="CR82" s="36"/>
      <c r="CS82" s="36"/>
      <c r="CT82" s="36"/>
      <c r="CU82" s="36"/>
      <c r="CV82" s="36"/>
      <c r="CW82" s="36">
        <f t="shared" si="339"/>
        <v>49145.25000000001</v>
      </c>
      <c r="CX82" s="36">
        <f t="shared" si="353"/>
        <v>51825.9</v>
      </c>
      <c r="CY82" s="36">
        <v>0</v>
      </c>
      <c r="CZ82" s="36">
        <f t="shared" si="180"/>
        <v>2822426.6000000006</v>
      </c>
      <c r="DA82" s="38">
        <f>CZ82*(1+$E$10)^-25</f>
        <v>833470.3978934911</v>
      </c>
      <c r="DB82" s="78"/>
      <c r="DC82" s="36"/>
      <c r="DD82" s="36"/>
      <c r="DE82" s="36"/>
      <c r="DF82" s="36"/>
      <c r="DG82" s="36"/>
      <c r="DH82" s="36"/>
      <c r="DI82" s="36"/>
      <c r="DJ82" s="36"/>
      <c r="DK82" s="36"/>
      <c r="DL82" s="36"/>
      <c r="DM82" s="36">
        <f t="shared" si="340"/>
        <v>0</v>
      </c>
      <c r="DN82" s="36">
        <f t="shared" si="354"/>
        <v>0</v>
      </c>
      <c r="DO82" s="47">
        <f t="shared" si="355"/>
        <v>0</v>
      </c>
      <c r="DP82" s="36"/>
      <c r="DQ82" s="36"/>
      <c r="DR82" s="36"/>
      <c r="DS82" s="36"/>
      <c r="DT82" s="36"/>
      <c r="DU82" s="36"/>
      <c r="DV82" s="36"/>
      <c r="DW82" s="36"/>
      <c r="DX82" s="36"/>
      <c r="DY82" s="36"/>
      <c r="DZ82" s="36">
        <f t="shared" si="327"/>
        <v>0</v>
      </c>
      <c r="EA82" s="36">
        <f t="shared" si="341"/>
        <v>0</v>
      </c>
      <c r="EB82" s="47">
        <f t="shared" si="356"/>
        <v>0</v>
      </c>
      <c r="EC82" s="36"/>
      <c r="ED82" s="36"/>
      <c r="EE82" s="36"/>
      <c r="EF82" s="36"/>
      <c r="EG82" s="36"/>
      <c r="EH82" s="36"/>
      <c r="EI82" s="36"/>
      <c r="EJ82" s="36"/>
      <c r="EK82" s="36"/>
      <c r="EL82" s="36"/>
      <c r="EM82" s="36">
        <f t="shared" si="328"/>
        <v>0</v>
      </c>
      <c r="EN82" s="36">
        <f t="shared" si="342"/>
        <v>0</v>
      </c>
      <c r="EO82" s="47">
        <v>0</v>
      </c>
      <c r="EP82" s="9"/>
      <c r="EQ82" s="36"/>
      <c r="ER82" s="36"/>
      <c r="ES82" s="36"/>
      <c r="ET82" s="36"/>
      <c r="EU82" s="36"/>
      <c r="EV82" s="36"/>
      <c r="EW82" s="36"/>
      <c r="EX82" s="36"/>
      <c r="EY82" s="36"/>
      <c r="EZ82" s="36">
        <f t="shared" si="329"/>
        <v>0</v>
      </c>
      <c r="FA82" s="36">
        <f t="shared" si="343"/>
        <v>0</v>
      </c>
      <c r="FB82" s="47">
        <v>0</v>
      </c>
      <c r="FC82" s="36"/>
      <c r="FD82" s="36"/>
      <c r="FE82" s="36"/>
      <c r="FF82" s="36"/>
      <c r="FG82" s="36"/>
      <c r="FH82" s="36"/>
      <c r="FI82" s="36"/>
      <c r="FJ82" s="36"/>
      <c r="FK82" s="36"/>
      <c r="FL82" s="36"/>
      <c r="FM82" s="36">
        <f t="shared" si="330"/>
        <v>0</v>
      </c>
      <c r="FN82" s="36">
        <f t="shared" si="344"/>
        <v>0</v>
      </c>
      <c r="FO82" s="47">
        <v>0</v>
      </c>
      <c r="FP82" s="36"/>
      <c r="FQ82" s="36"/>
      <c r="FR82" s="36"/>
      <c r="FS82" s="36"/>
      <c r="FT82" s="36"/>
      <c r="FU82" s="36"/>
      <c r="FV82" s="36"/>
      <c r="FW82" s="36"/>
      <c r="FX82" s="36"/>
      <c r="FY82" s="36"/>
      <c r="FZ82" s="36">
        <f t="shared" si="331"/>
        <v>0</v>
      </c>
      <c r="GA82" s="36">
        <f t="shared" si="345"/>
        <v>0</v>
      </c>
      <c r="GB82" s="47">
        <v>0</v>
      </c>
      <c r="GC82" s="36"/>
      <c r="GD82" s="36"/>
      <c r="GE82" s="36"/>
      <c r="GF82" s="36"/>
      <c r="GG82" s="36"/>
      <c r="GH82" s="36"/>
      <c r="GI82" s="36"/>
      <c r="GJ82" s="36"/>
      <c r="GK82" s="36"/>
      <c r="GL82" s="36"/>
      <c r="GM82" s="36">
        <f t="shared" si="332"/>
        <v>0</v>
      </c>
      <c r="GN82" s="36">
        <f t="shared" si="346"/>
        <v>0</v>
      </c>
      <c r="GO82" s="47">
        <v>0</v>
      </c>
      <c r="GP82" s="36">
        <f>SUM(DC82:GO82)</f>
        <v>0</v>
      </c>
      <c r="GQ82" s="38">
        <f>GP82*(1+$E$11)^-25</f>
        <v>0</v>
      </c>
      <c r="GR82" s="38">
        <f t="shared" si="204"/>
        <v>2822426.6000000006</v>
      </c>
      <c r="GS82" s="52">
        <f t="shared" si="187"/>
        <v>833470.3978934911</v>
      </c>
      <c r="GT82" s="9"/>
    </row>
    <row r="83" spans="1:202" ht="18">
      <c r="A83" s="9"/>
      <c r="B83" s="49">
        <v>2028</v>
      </c>
      <c r="C83" s="79" t="s">
        <v>40</v>
      </c>
      <c r="D83" s="79" t="s">
        <v>40</v>
      </c>
      <c r="E83" s="79" t="s">
        <v>40</v>
      </c>
      <c r="F83" s="79" t="s">
        <v>40</v>
      </c>
      <c r="G83" s="79" t="s">
        <v>40</v>
      </c>
      <c r="H83" s="79" t="s">
        <v>40</v>
      </c>
      <c r="I83" s="79" t="s">
        <v>40</v>
      </c>
      <c r="J83" s="79" t="s">
        <v>40</v>
      </c>
      <c r="K83" s="80" t="s">
        <v>40</v>
      </c>
      <c r="L83" s="36"/>
      <c r="M83" s="36"/>
      <c r="N83" s="36"/>
      <c r="O83" s="36"/>
      <c r="P83" s="36"/>
      <c r="Q83" s="36"/>
      <c r="R83" s="36"/>
      <c r="S83" s="36"/>
      <c r="T83" s="36"/>
      <c r="U83" s="36"/>
      <c r="V83" s="36"/>
      <c r="W83" s="36"/>
      <c r="X83" s="36">
        <f t="shared" si="347"/>
        <v>144755.1</v>
      </c>
      <c r="Y83" s="47">
        <f t="shared" si="357"/>
        <v>151605.65000000002</v>
      </c>
      <c r="Z83" s="36"/>
      <c r="AA83" s="36"/>
      <c r="AB83" s="36"/>
      <c r="AC83" s="36"/>
      <c r="AD83" s="36"/>
      <c r="AE83" s="36"/>
      <c r="AF83" s="36"/>
      <c r="AG83" s="36"/>
      <c r="AH83" s="36"/>
      <c r="AI83" s="36"/>
      <c r="AJ83" s="36"/>
      <c r="AK83" s="36">
        <f t="shared" si="348"/>
        <v>49740.950000000004</v>
      </c>
      <c r="AL83" s="47">
        <f t="shared" si="358"/>
        <v>51230.200000000004</v>
      </c>
      <c r="AM83" s="36"/>
      <c r="AN83" s="36"/>
      <c r="AO83" s="36"/>
      <c r="AP83" s="36"/>
      <c r="AQ83" s="36"/>
      <c r="AR83" s="36"/>
      <c r="AS83" s="36"/>
      <c r="AT83" s="36"/>
      <c r="AU83" s="36"/>
      <c r="AV83" s="36"/>
      <c r="AW83" s="36"/>
      <c r="AX83" s="36">
        <f t="shared" si="349"/>
        <v>701734.6000000001</v>
      </c>
      <c r="AY83" s="47">
        <v>0</v>
      </c>
      <c r="AZ83" s="36"/>
      <c r="BA83" s="36"/>
      <c r="BB83" s="36"/>
      <c r="BC83" s="36"/>
      <c r="BD83" s="36"/>
      <c r="BE83" s="36"/>
      <c r="BF83" s="36"/>
      <c r="BG83" s="36"/>
      <c r="BH83" s="36"/>
      <c r="BI83" s="36"/>
      <c r="BJ83" s="36"/>
      <c r="BK83" s="36">
        <f t="shared" si="350"/>
        <v>233812.25000000003</v>
      </c>
      <c r="BL83" s="47">
        <v>0</v>
      </c>
      <c r="BM83" s="36"/>
      <c r="BN83" s="36"/>
      <c r="BO83" s="36"/>
      <c r="BP83" s="36"/>
      <c r="BQ83" s="36"/>
      <c r="BR83" s="36"/>
      <c r="BS83" s="36"/>
      <c r="BT83" s="36"/>
      <c r="BU83" s="36"/>
      <c r="BV83" s="36"/>
      <c r="BW83" s="36"/>
      <c r="BX83" s="36">
        <f t="shared" si="351"/>
        <v>122714.20000000001</v>
      </c>
      <c r="BY83" s="47">
        <v>0</v>
      </c>
      <c r="BZ83" s="36"/>
      <c r="CA83" s="36"/>
      <c r="CB83" s="36"/>
      <c r="CC83" s="36"/>
      <c r="CD83" s="36"/>
      <c r="CE83" s="36"/>
      <c r="CF83" s="36"/>
      <c r="CG83" s="36"/>
      <c r="CH83" s="36"/>
      <c r="CI83" s="36"/>
      <c r="CJ83" s="36"/>
      <c r="CK83" s="36">
        <f t="shared" si="352"/>
        <v>40805.450000000004</v>
      </c>
      <c r="CL83" s="47">
        <v>0</v>
      </c>
      <c r="CM83" s="36"/>
      <c r="CN83" s="36"/>
      <c r="CO83" s="36"/>
      <c r="CP83" s="36"/>
      <c r="CQ83" s="36"/>
      <c r="CR83" s="36"/>
      <c r="CS83" s="36"/>
      <c r="CT83" s="36"/>
      <c r="CU83" s="36"/>
      <c r="CV83" s="36"/>
      <c r="CW83" s="36"/>
      <c r="CX83" s="36">
        <f t="shared" si="353"/>
        <v>51825.9</v>
      </c>
      <c r="CY83" s="36">
        <v>0</v>
      </c>
      <c r="CZ83" s="36">
        <f t="shared" si="180"/>
        <v>1548224.2999999998</v>
      </c>
      <c r="DA83" s="38">
        <f>CZ83*(1+$E$10)^-26</f>
        <v>435423.73999983567</v>
      </c>
      <c r="DB83" s="78"/>
      <c r="DC83" s="36"/>
      <c r="DD83" s="36"/>
      <c r="DE83" s="36"/>
      <c r="DF83" s="36"/>
      <c r="DG83" s="36"/>
      <c r="DH83" s="36"/>
      <c r="DI83" s="36"/>
      <c r="DJ83" s="36"/>
      <c r="DK83" s="36"/>
      <c r="DL83" s="36"/>
      <c r="DM83" s="36"/>
      <c r="DN83" s="36">
        <f t="shared" si="354"/>
        <v>0</v>
      </c>
      <c r="DO83" s="47">
        <f t="shared" si="355"/>
        <v>0</v>
      </c>
      <c r="DP83" s="36"/>
      <c r="DQ83" s="36"/>
      <c r="DR83" s="36"/>
      <c r="DS83" s="36"/>
      <c r="DT83" s="36"/>
      <c r="DU83" s="36"/>
      <c r="DV83" s="36"/>
      <c r="DW83" s="36"/>
      <c r="DX83" s="36"/>
      <c r="DY83" s="36"/>
      <c r="DZ83" s="36"/>
      <c r="EA83" s="36">
        <f t="shared" si="341"/>
        <v>0</v>
      </c>
      <c r="EB83" s="47">
        <f t="shared" si="356"/>
        <v>0</v>
      </c>
      <c r="EC83" s="36"/>
      <c r="ED83" s="36"/>
      <c r="EE83" s="36"/>
      <c r="EF83" s="36"/>
      <c r="EG83" s="36"/>
      <c r="EH83" s="36"/>
      <c r="EI83" s="36"/>
      <c r="EJ83" s="36"/>
      <c r="EK83" s="36"/>
      <c r="EL83" s="36"/>
      <c r="EM83" s="36"/>
      <c r="EN83" s="36">
        <f t="shared" si="342"/>
        <v>0</v>
      </c>
      <c r="EO83" s="47">
        <v>0</v>
      </c>
      <c r="EP83" s="9"/>
      <c r="EQ83" s="36"/>
      <c r="ER83" s="36"/>
      <c r="ES83" s="36"/>
      <c r="ET83" s="36"/>
      <c r="EU83" s="36"/>
      <c r="EV83" s="36"/>
      <c r="EW83" s="36"/>
      <c r="EX83" s="36"/>
      <c r="EY83" s="36"/>
      <c r="EZ83" s="36"/>
      <c r="FA83" s="36">
        <f t="shared" si="343"/>
        <v>0</v>
      </c>
      <c r="FB83" s="47">
        <v>0</v>
      </c>
      <c r="FC83" s="36"/>
      <c r="FD83" s="36"/>
      <c r="FE83" s="36"/>
      <c r="FF83" s="36"/>
      <c r="FG83" s="36"/>
      <c r="FH83" s="36"/>
      <c r="FI83" s="36"/>
      <c r="FJ83" s="36"/>
      <c r="FK83" s="36"/>
      <c r="FL83" s="36"/>
      <c r="FM83" s="36"/>
      <c r="FN83" s="36">
        <f t="shared" si="344"/>
        <v>0</v>
      </c>
      <c r="FO83" s="47">
        <v>0</v>
      </c>
      <c r="FP83" s="36"/>
      <c r="FQ83" s="36"/>
      <c r="FR83" s="36"/>
      <c r="FS83" s="36"/>
      <c r="FT83" s="36"/>
      <c r="FU83" s="36"/>
      <c r="FV83" s="36"/>
      <c r="FW83" s="36"/>
      <c r="FX83" s="36"/>
      <c r="FY83" s="36"/>
      <c r="FZ83" s="36"/>
      <c r="GA83" s="36">
        <f t="shared" si="345"/>
        <v>0</v>
      </c>
      <c r="GB83" s="47">
        <v>0</v>
      </c>
      <c r="GC83" s="36"/>
      <c r="GD83" s="36"/>
      <c r="GE83" s="36"/>
      <c r="GF83" s="36"/>
      <c r="GG83" s="36"/>
      <c r="GH83" s="36"/>
      <c r="GI83" s="36"/>
      <c r="GJ83" s="36"/>
      <c r="GK83" s="36"/>
      <c r="GL83" s="36"/>
      <c r="GM83" s="36"/>
      <c r="GN83" s="36">
        <f t="shared" si="346"/>
        <v>0</v>
      </c>
      <c r="GO83" s="47">
        <v>0</v>
      </c>
      <c r="GP83" s="36">
        <f>SUM(DC83:GO83)</f>
        <v>0</v>
      </c>
      <c r="GQ83" s="38">
        <f>GP83*(1+$E$11)^-26</f>
        <v>0</v>
      </c>
      <c r="GR83" s="38">
        <f t="shared" si="204"/>
        <v>1548224.2999999998</v>
      </c>
      <c r="GS83" s="52">
        <f t="shared" si="187"/>
        <v>435423.73999983567</v>
      </c>
      <c r="GT83" s="9"/>
    </row>
    <row r="84" spans="1:202" ht="18">
      <c r="A84" s="9"/>
      <c r="B84" s="49">
        <v>2029</v>
      </c>
      <c r="C84" s="79" t="s">
        <v>40</v>
      </c>
      <c r="D84" s="79" t="s">
        <v>40</v>
      </c>
      <c r="E84" s="79" t="s">
        <v>40</v>
      </c>
      <c r="F84" s="79" t="s">
        <v>40</v>
      </c>
      <c r="G84" s="79" t="s">
        <v>40</v>
      </c>
      <c r="H84" s="79" t="s">
        <v>40</v>
      </c>
      <c r="I84" s="79" t="s">
        <v>40</v>
      </c>
      <c r="J84" s="79" t="s">
        <v>40</v>
      </c>
      <c r="K84" s="80" t="s">
        <v>40</v>
      </c>
      <c r="L84" s="36"/>
      <c r="M84" s="36"/>
      <c r="N84" s="36"/>
      <c r="O84" s="36"/>
      <c r="P84" s="36"/>
      <c r="Q84" s="36"/>
      <c r="R84" s="36"/>
      <c r="S84" s="36"/>
      <c r="T84" s="36"/>
      <c r="U84" s="36"/>
      <c r="V84" s="36"/>
      <c r="W84" s="36"/>
      <c r="X84" s="36"/>
      <c r="Y84" s="47">
        <f t="shared" si="357"/>
        <v>151605.65000000002</v>
      </c>
      <c r="Z84" s="36"/>
      <c r="AA84" s="36"/>
      <c r="AB84" s="36"/>
      <c r="AC84" s="36"/>
      <c r="AD84" s="36"/>
      <c r="AE84" s="36"/>
      <c r="AF84" s="36"/>
      <c r="AG84" s="36"/>
      <c r="AH84" s="36"/>
      <c r="AI84" s="36"/>
      <c r="AJ84" s="36"/>
      <c r="AK84" s="36"/>
      <c r="AL84" s="47">
        <f t="shared" si="358"/>
        <v>51230.200000000004</v>
      </c>
      <c r="AM84" s="36"/>
      <c r="AN84" s="36"/>
      <c r="AO84" s="36"/>
      <c r="AP84" s="36"/>
      <c r="AQ84" s="36"/>
      <c r="AR84" s="36"/>
      <c r="AS84" s="36"/>
      <c r="AT84" s="36"/>
      <c r="AU84" s="36"/>
      <c r="AV84" s="36"/>
      <c r="AW84" s="36"/>
      <c r="AX84" s="36"/>
      <c r="AY84" s="47">
        <v>0</v>
      </c>
      <c r="AZ84" s="36"/>
      <c r="BA84" s="36"/>
      <c r="BB84" s="36"/>
      <c r="BC84" s="36"/>
      <c r="BD84" s="36"/>
      <c r="BE84" s="36"/>
      <c r="BF84" s="36"/>
      <c r="BG84" s="36"/>
      <c r="BH84" s="36"/>
      <c r="BI84" s="36"/>
      <c r="BJ84" s="36"/>
      <c r="BK84" s="36"/>
      <c r="BL84" s="47">
        <v>0</v>
      </c>
      <c r="BM84" s="36"/>
      <c r="BN84" s="36"/>
      <c r="BO84" s="36"/>
      <c r="BP84" s="36"/>
      <c r="BQ84" s="36"/>
      <c r="BR84" s="36"/>
      <c r="BS84" s="36"/>
      <c r="BT84" s="36"/>
      <c r="BU84" s="36"/>
      <c r="BV84" s="36"/>
      <c r="BW84" s="36"/>
      <c r="BX84" s="36"/>
      <c r="BY84" s="47">
        <v>0</v>
      </c>
      <c r="BZ84" s="36"/>
      <c r="CA84" s="36"/>
      <c r="CB84" s="36"/>
      <c r="CC84" s="36"/>
      <c r="CD84" s="36"/>
      <c r="CE84" s="36"/>
      <c r="CF84" s="36"/>
      <c r="CG84" s="36"/>
      <c r="CH84" s="36"/>
      <c r="CI84" s="36"/>
      <c r="CJ84" s="36"/>
      <c r="CK84" s="36"/>
      <c r="CL84" s="47">
        <v>0</v>
      </c>
      <c r="CM84" s="36"/>
      <c r="CN84" s="36"/>
      <c r="CO84" s="36"/>
      <c r="CP84" s="36"/>
      <c r="CQ84" s="36"/>
      <c r="CR84" s="36"/>
      <c r="CS84" s="36"/>
      <c r="CT84" s="36"/>
      <c r="CU84" s="36"/>
      <c r="CV84" s="36"/>
      <c r="CW84" s="36"/>
      <c r="CX84" s="36"/>
      <c r="CY84" s="36">
        <v>0</v>
      </c>
      <c r="CZ84" s="36">
        <f t="shared" si="180"/>
        <v>202835.85000000003</v>
      </c>
      <c r="DA84" s="38">
        <f>CZ84*(1+$E$10)^-27</f>
        <v>54329.24145548437</v>
      </c>
      <c r="DB84" s="78"/>
      <c r="DC84" s="36"/>
      <c r="DD84" s="36"/>
      <c r="DE84" s="36"/>
      <c r="DF84" s="36"/>
      <c r="DG84" s="36"/>
      <c r="DH84" s="36"/>
      <c r="DI84" s="36"/>
      <c r="DJ84" s="36"/>
      <c r="DK84" s="36"/>
      <c r="DL84" s="36"/>
      <c r="DM84" s="36"/>
      <c r="DN84" s="36"/>
      <c r="DO84" s="47">
        <f t="shared" si="355"/>
        <v>0</v>
      </c>
      <c r="DP84" s="36"/>
      <c r="DQ84" s="36"/>
      <c r="DR84" s="36"/>
      <c r="DS84" s="36"/>
      <c r="DT84" s="36"/>
      <c r="DU84" s="36"/>
      <c r="DV84" s="36"/>
      <c r="DW84" s="36"/>
      <c r="DX84" s="36"/>
      <c r="DY84" s="36"/>
      <c r="DZ84" s="36"/>
      <c r="EA84" s="36"/>
      <c r="EB84" s="47">
        <f t="shared" si="356"/>
        <v>0</v>
      </c>
      <c r="EC84" s="36"/>
      <c r="ED84" s="36"/>
      <c r="EE84" s="36"/>
      <c r="EF84" s="36"/>
      <c r="EG84" s="36"/>
      <c r="EH84" s="36"/>
      <c r="EI84" s="36"/>
      <c r="EJ84" s="36"/>
      <c r="EK84" s="36"/>
      <c r="EL84" s="36"/>
      <c r="EM84" s="36"/>
      <c r="EN84" s="36"/>
      <c r="EO84" s="47">
        <v>0</v>
      </c>
      <c r="EP84" s="9"/>
      <c r="EQ84" s="36"/>
      <c r="ER84" s="36"/>
      <c r="ES84" s="36"/>
      <c r="ET84" s="36"/>
      <c r="EU84" s="36"/>
      <c r="EV84" s="36"/>
      <c r="EW84" s="36"/>
      <c r="EX84" s="36"/>
      <c r="EY84" s="36"/>
      <c r="EZ84" s="36"/>
      <c r="FA84" s="36"/>
      <c r="FB84" s="47">
        <v>0</v>
      </c>
      <c r="FC84" s="36"/>
      <c r="FD84" s="36"/>
      <c r="FE84" s="36"/>
      <c r="FF84" s="36"/>
      <c r="FG84" s="36"/>
      <c r="FH84" s="36"/>
      <c r="FI84" s="36"/>
      <c r="FJ84" s="36"/>
      <c r="FK84" s="36"/>
      <c r="FL84" s="36"/>
      <c r="FM84" s="36"/>
      <c r="FN84" s="36"/>
      <c r="FO84" s="47">
        <v>0</v>
      </c>
      <c r="FP84" s="36"/>
      <c r="FQ84" s="36"/>
      <c r="FR84" s="36"/>
      <c r="FS84" s="36"/>
      <c r="FT84" s="36"/>
      <c r="FU84" s="36"/>
      <c r="FV84" s="36"/>
      <c r="FW84" s="36"/>
      <c r="FX84" s="36"/>
      <c r="FY84" s="36"/>
      <c r="FZ84" s="36"/>
      <c r="GA84" s="36"/>
      <c r="GB84" s="47">
        <v>0</v>
      </c>
      <c r="GC84" s="36"/>
      <c r="GD84" s="36"/>
      <c r="GE84" s="36"/>
      <c r="GF84" s="36"/>
      <c r="GG84" s="36"/>
      <c r="GH84" s="36"/>
      <c r="GI84" s="36"/>
      <c r="GJ84" s="36"/>
      <c r="GK84" s="36"/>
      <c r="GL84" s="36"/>
      <c r="GM84" s="36"/>
      <c r="GN84" s="36"/>
      <c r="GO84" s="47">
        <v>0</v>
      </c>
      <c r="GP84" s="36">
        <f>SUM(DC84:GO84)</f>
        <v>0</v>
      </c>
      <c r="GQ84" s="38">
        <f>GP84*(1+$E$11)^-27</f>
        <v>0</v>
      </c>
      <c r="GR84" s="38">
        <f t="shared" si="204"/>
        <v>202835.85000000003</v>
      </c>
      <c r="GS84" s="52">
        <f t="shared" si="187"/>
        <v>54329.24145548437</v>
      </c>
      <c r="GT84" s="9"/>
    </row>
    <row r="85" spans="1:202" ht="18">
      <c r="A85" s="9"/>
      <c r="B85" s="66"/>
      <c r="C85" s="79"/>
      <c r="D85" s="79"/>
      <c r="E85" s="79"/>
      <c r="F85" s="79"/>
      <c r="G85" s="79"/>
      <c r="H85" s="79"/>
      <c r="I85" s="79"/>
      <c r="J85" s="79"/>
      <c r="K85" s="83">
        <f>SUM(K63:K75)</f>
        <v>59014</v>
      </c>
      <c r="L85" s="36" t="s">
        <v>2</v>
      </c>
      <c r="M85" s="36"/>
      <c r="N85" s="36"/>
      <c r="O85" s="36"/>
      <c r="P85" s="36"/>
      <c r="Q85" s="36"/>
      <c r="R85" s="36"/>
      <c r="S85" s="36"/>
      <c r="T85" s="36"/>
      <c r="U85" s="36"/>
      <c r="V85" s="36"/>
      <c r="W85" s="36"/>
      <c r="X85" s="36"/>
      <c r="Y85" s="81"/>
      <c r="Z85" s="36"/>
      <c r="AA85" s="36"/>
      <c r="AB85" s="36"/>
      <c r="AC85" s="36"/>
      <c r="AD85" s="36"/>
      <c r="AE85" s="36"/>
      <c r="AF85" s="36"/>
      <c r="AG85" s="36"/>
      <c r="AH85" s="36"/>
      <c r="AI85" s="36"/>
      <c r="AJ85" s="36"/>
      <c r="AK85" s="36"/>
      <c r="AL85" s="81"/>
      <c r="AM85" s="36"/>
      <c r="AN85" s="36"/>
      <c r="AO85" s="36"/>
      <c r="AP85" s="36"/>
      <c r="AQ85" s="36"/>
      <c r="AR85" s="36"/>
      <c r="AS85" s="36"/>
      <c r="AT85" s="36"/>
      <c r="AU85" s="36"/>
      <c r="AV85" s="36"/>
      <c r="AW85" s="36"/>
      <c r="AX85" s="36"/>
      <c r="AY85" s="81"/>
      <c r="AZ85" s="9"/>
      <c r="BA85" s="36"/>
      <c r="BB85" s="36"/>
      <c r="BC85" s="36"/>
      <c r="BD85" s="36"/>
      <c r="BE85" s="36"/>
      <c r="BF85" s="36"/>
      <c r="BG85" s="36"/>
      <c r="BH85" s="36"/>
      <c r="BI85" s="36"/>
      <c r="BJ85" s="36"/>
      <c r="BK85" s="36"/>
      <c r="BL85" s="81"/>
      <c r="BM85" s="36"/>
      <c r="BN85" s="36"/>
      <c r="BO85" s="36"/>
      <c r="BP85" s="36"/>
      <c r="BQ85" s="36"/>
      <c r="BR85" s="36"/>
      <c r="BS85" s="36"/>
      <c r="BT85" s="36"/>
      <c r="BU85" s="36"/>
      <c r="BV85" s="36"/>
      <c r="BW85" s="36"/>
      <c r="BX85" s="36"/>
      <c r="BY85" s="81"/>
      <c r="BZ85" s="36"/>
      <c r="CA85" s="36"/>
      <c r="CB85" s="36"/>
      <c r="CC85" s="36"/>
      <c r="CD85" s="36"/>
      <c r="CE85" s="36"/>
      <c r="CF85" s="36"/>
      <c r="CG85" s="36"/>
      <c r="CH85" s="36"/>
      <c r="CI85" s="36"/>
      <c r="CJ85" s="36"/>
      <c r="CK85" s="36"/>
      <c r="CL85" s="81"/>
      <c r="CM85" s="36"/>
      <c r="CN85" s="36"/>
      <c r="CO85" s="36"/>
      <c r="CP85" s="36"/>
      <c r="CQ85" s="36"/>
      <c r="CR85" s="36"/>
      <c r="CS85" s="36"/>
      <c r="CT85" s="36"/>
      <c r="CU85" s="36"/>
      <c r="CV85" s="36"/>
      <c r="CW85" s="32" t="s">
        <v>93</v>
      </c>
      <c r="CX85" s="32"/>
      <c r="CY85" s="36"/>
      <c r="CZ85" s="36"/>
      <c r="DA85" s="61">
        <f>SUM(DA63:DA75)</f>
        <v>67340489.15080397</v>
      </c>
      <c r="DB85" s="81"/>
      <c r="DC85" s="36"/>
      <c r="DD85" s="36"/>
      <c r="DE85" s="36"/>
      <c r="DF85" s="36"/>
      <c r="DG85" s="36"/>
      <c r="DH85" s="36"/>
      <c r="DI85" s="36"/>
      <c r="DJ85" s="36"/>
      <c r="DK85" s="36"/>
      <c r="DL85" s="36"/>
      <c r="DM85" s="36"/>
      <c r="DN85" s="36"/>
      <c r="DO85" s="81"/>
      <c r="DP85" s="36"/>
      <c r="DQ85" s="36"/>
      <c r="DR85" s="36"/>
      <c r="DS85" s="36"/>
      <c r="DT85" s="36"/>
      <c r="DU85" s="36"/>
      <c r="DV85" s="36"/>
      <c r="DW85" s="36"/>
      <c r="DX85" s="36"/>
      <c r="DY85" s="36"/>
      <c r="DZ85" s="36"/>
      <c r="EA85" s="36"/>
      <c r="EB85" s="81"/>
      <c r="EC85" s="36"/>
      <c r="ED85" s="36"/>
      <c r="EE85" s="36"/>
      <c r="EF85" s="36"/>
      <c r="EG85" s="36"/>
      <c r="EH85" s="36"/>
      <c r="EI85" s="36"/>
      <c r="EJ85" s="36"/>
      <c r="EK85" s="36"/>
      <c r="EL85" s="36"/>
      <c r="EM85" s="36"/>
      <c r="EN85" s="36"/>
      <c r="EO85" s="81"/>
      <c r="EP85" s="9"/>
      <c r="EQ85" s="36"/>
      <c r="ER85" s="36"/>
      <c r="ES85" s="36"/>
      <c r="ET85" s="36"/>
      <c r="EU85" s="36"/>
      <c r="EV85" s="36"/>
      <c r="EW85" s="36"/>
      <c r="EX85" s="36"/>
      <c r="EY85" s="36"/>
      <c r="EZ85" s="36"/>
      <c r="FA85" s="36"/>
      <c r="FB85" s="81"/>
      <c r="FC85" s="36"/>
      <c r="FD85" s="36"/>
      <c r="FE85" s="36"/>
      <c r="FF85" s="36"/>
      <c r="FG85" s="36"/>
      <c r="FH85" s="36"/>
      <c r="FI85" s="36"/>
      <c r="FJ85" s="36"/>
      <c r="FK85" s="36"/>
      <c r="FL85" s="36"/>
      <c r="FM85" s="36"/>
      <c r="FN85" s="36"/>
      <c r="FO85" s="81"/>
      <c r="FP85" s="36"/>
      <c r="FQ85" s="36"/>
      <c r="FR85" s="36"/>
      <c r="FS85" s="36"/>
      <c r="FT85" s="36"/>
      <c r="FU85" s="36"/>
      <c r="FV85" s="36"/>
      <c r="FW85" s="36"/>
      <c r="FX85" s="36"/>
      <c r="FY85" s="36"/>
      <c r="FZ85" s="36"/>
      <c r="GA85" s="36"/>
      <c r="GB85" s="81"/>
      <c r="GC85" s="36"/>
      <c r="GD85" s="36"/>
      <c r="GE85" s="36"/>
      <c r="GF85" s="36"/>
      <c r="GG85" s="36"/>
      <c r="GH85" s="36"/>
      <c r="GI85" s="36"/>
      <c r="GJ85" s="36"/>
      <c r="GK85" s="36"/>
      <c r="GR85" s="61"/>
      <c r="GT85" s="9"/>
    </row>
    <row r="86" spans="1:202" ht="18">
      <c r="A86" s="9"/>
      <c r="B86" s="66"/>
      <c r="C86" s="79"/>
      <c r="D86" s="79"/>
      <c r="E86" s="79"/>
      <c r="F86" s="79"/>
      <c r="G86" s="79"/>
      <c r="H86" s="79"/>
      <c r="I86" s="79"/>
      <c r="J86" s="79"/>
      <c r="K86" s="83"/>
      <c r="L86" s="36"/>
      <c r="M86" s="36"/>
      <c r="N86" s="36"/>
      <c r="O86" s="36"/>
      <c r="P86" s="36"/>
      <c r="Q86" s="36"/>
      <c r="R86" s="36"/>
      <c r="S86" s="36"/>
      <c r="T86" s="36"/>
      <c r="U86" s="36"/>
      <c r="V86" s="36"/>
      <c r="W86" s="36"/>
      <c r="X86" s="36"/>
      <c r="Y86" s="81"/>
      <c r="Z86" s="36"/>
      <c r="AA86" s="36"/>
      <c r="AB86" s="36"/>
      <c r="AC86" s="36"/>
      <c r="AD86" s="36"/>
      <c r="AE86" s="36"/>
      <c r="AF86" s="36"/>
      <c r="AG86" s="36"/>
      <c r="AH86" s="36"/>
      <c r="AI86" s="36"/>
      <c r="AJ86" s="36"/>
      <c r="AK86" s="36"/>
      <c r="AL86" s="81"/>
      <c r="AM86" s="36"/>
      <c r="AN86" s="36"/>
      <c r="AO86" s="36"/>
      <c r="AP86" s="36"/>
      <c r="AQ86" s="36"/>
      <c r="AR86" s="36"/>
      <c r="AS86" s="36"/>
      <c r="AT86" s="36"/>
      <c r="AU86" s="36"/>
      <c r="AV86" s="36"/>
      <c r="AW86" s="36"/>
      <c r="AX86" s="36"/>
      <c r="AY86" s="81"/>
      <c r="AZ86" s="9"/>
      <c r="BA86" s="36"/>
      <c r="BB86" s="36"/>
      <c r="BC86" s="36"/>
      <c r="BD86" s="36"/>
      <c r="BE86" s="36"/>
      <c r="BF86" s="36"/>
      <c r="BG86" s="36"/>
      <c r="BH86" s="36"/>
      <c r="BI86" s="36"/>
      <c r="BJ86" s="36"/>
      <c r="BK86" s="36"/>
      <c r="BL86" s="81"/>
      <c r="BM86" s="36"/>
      <c r="BN86" s="36"/>
      <c r="BO86" s="36"/>
      <c r="BP86" s="36"/>
      <c r="BQ86" s="36"/>
      <c r="BR86" s="36"/>
      <c r="BS86" s="36"/>
      <c r="BT86" s="36"/>
      <c r="BU86" s="36"/>
      <c r="BV86" s="36"/>
      <c r="BW86" s="36"/>
      <c r="BX86" s="36"/>
      <c r="BY86" s="81"/>
      <c r="BZ86" s="36"/>
      <c r="CA86" s="36"/>
      <c r="CB86" s="36"/>
      <c r="CC86" s="36"/>
      <c r="CD86" s="36"/>
      <c r="CE86" s="36"/>
      <c r="CF86" s="36"/>
      <c r="CG86" s="36"/>
      <c r="CH86" s="36"/>
      <c r="CI86" s="36"/>
      <c r="CJ86" s="36"/>
      <c r="CK86" s="36"/>
      <c r="CL86" s="81"/>
      <c r="CM86" s="36"/>
      <c r="CN86" s="36"/>
      <c r="CO86" s="36"/>
      <c r="CP86" s="36"/>
      <c r="CQ86" s="36"/>
      <c r="CR86" s="36"/>
      <c r="CS86" s="36"/>
      <c r="CT86" s="36"/>
      <c r="CU86" s="36"/>
      <c r="CV86" s="36"/>
      <c r="CW86" s="36"/>
      <c r="CX86" s="36"/>
      <c r="CY86" s="36"/>
      <c r="CZ86" s="36"/>
      <c r="DA86" s="61"/>
      <c r="DB86" s="81"/>
      <c r="DC86" s="36"/>
      <c r="DD86" s="36"/>
      <c r="DE86" s="36"/>
      <c r="DF86" s="36"/>
      <c r="DG86" s="36"/>
      <c r="DH86" s="36"/>
      <c r="DI86" s="36"/>
      <c r="DJ86" s="36"/>
      <c r="DK86" s="36"/>
      <c r="DL86" s="36"/>
      <c r="DM86" s="36"/>
      <c r="DN86" s="36"/>
      <c r="DO86" s="81"/>
      <c r="DP86" s="36"/>
      <c r="DQ86" s="36"/>
      <c r="DR86" s="36"/>
      <c r="DS86" s="36"/>
      <c r="DT86" s="36"/>
      <c r="DU86" s="36"/>
      <c r="DV86" s="36"/>
      <c r="DW86" s="36"/>
      <c r="DX86" s="36"/>
      <c r="DY86" s="36"/>
      <c r="DZ86" s="36"/>
      <c r="EA86" s="36"/>
      <c r="EB86" s="81"/>
      <c r="EC86" s="36"/>
      <c r="ED86" s="36"/>
      <c r="EE86" s="36"/>
      <c r="EF86" s="36"/>
      <c r="EG86" s="36"/>
      <c r="EH86" s="36"/>
      <c r="EI86" s="36"/>
      <c r="EJ86" s="36"/>
      <c r="EK86" s="36"/>
      <c r="EL86" s="36"/>
      <c r="EM86" s="36"/>
      <c r="EN86" s="36"/>
      <c r="EO86" s="81"/>
      <c r="EP86" s="9"/>
      <c r="EQ86" s="36"/>
      <c r="ER86" s="36"/>
      <c r="ES86" s="36"/>
      <c r="ET86" s="36"/>
      <c r="EU86" s="36"/>
      <c r="EV86" s="36"/>
      <c r="EW86" s="36"/>
      <c r="EX86" s="36"/>
      <c r="EY86" s="36"/>
      <c r="EZ86" s="36"/>
      <c r="FA86" s="36"/>
      <c r="FB86" s="81"/>
      <c r="FC86" s="36"/>
      <c r="FD86" s="36"/>
      <c r="FE86" s="36"/>
      <c r="FF86" s="36"/>
      <c r="FG86" s="36"/>
      <c r="FH86" s="36"/>
      <c r="FI86" s="36"/>
      <c r="FJ86" s="36"/>
      <c r="FK86" s="36"/>
      <c r="FL86" s="36"/>
      <c r="FM86" s="36"/>
      <c r="FN86" s="36"/>
      <c r="FO86" s="81"/>
      <c r="FP86" s="36"/>
      <c r="FQ86" s="36"/>
      <c r="FR86" s="36"/>
      <c r="FS86" s="36"/>
      <c r="FT86" s="36"/>
      <c r="FU86" s="36"/>
      <c r="FV86" s="36"/>
      <c r="FW86" s="36"/>
      <c r="FX86" s="36"/>
      <c r="FY86" s="36"/>
      <c r="FZ86" s="36"/>
      <c r="GA86" s="36"/>
      <c r="GB86" s="81"/>
      <c r="GC86" s="36"/>
      <c r="GD86" s="36"/>
      <c r="GE86" s="36"/>
      <c r="GF86" s="36"/>
      <c r="GG86" s="36"/>
      <c r="GH86" s="36"/>
      <c r="GI86" s="36"/>
      <c r="GJ86" s="36"/>
      <c r="GK86" s="36"/>
      <c r="GL86" s="32" t="s">
        <v>92</v>
      </c>
      <c r="GN86" s="36"/>
      <c r="GO86" s="81"/>
      <c r="GP86" s="36"/>
      <c r="GQ86" s="61">
        <f>SUM(GQ63:GQ75)</f>
        <v>17092934.081786294</v>
      </c>
      <c r="GR86" s="81"/>
      <c r="GT86" s="9"/>
    </row>
    <row r="87" spans="1:202" ht="18">
      <c r="A87" s="54" t="s">
        <v>41</v>
      </c>
      <c r="B87" s="68"/>
      <c r="C87" s="9"/>
      <c r="D87" s="9"/>
      <c r="E87" s="9"/>
      <c r="F87" s="9"/>
      <c r="G87" s="9"/>
      <c r="H87" s="9"/>
      <c r="I87" s="9"/>
      <c r="J87" s="9"/>
      <c r="K87" s="9"/>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Y87" s="36"/>
      <c r="CZ87" s="36"/>
      <c r="DB87" s="9"/>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T87" s="9"/>
    </row>
    <row r="88" spans="1:203" ht="18">
      <c r="A88" s="54" t="s">
        <v>64</v>
      </c>
      <c r="B88" s="68"/>
      <c r="C88" s="9"/>
      <c r="D88" s="9"/>
      <c r="E88" s="9"/>
      <c r="F88" s="9"/>
      <c r="G88" s="9"/>
      <c r="H88" s="9"/>
      <c r="I88" s="9"/>
      <c r="J88" s="9"/>
      <c r="K88" s="9"/>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2"/>
      <c r="CY88" s="36"/>
      <c r="CZ88" s="36"/>
      <c r="DA88" s="61"/>
      <c r="DB88" s="9"/>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2"/>
      <c r="GN88" s="9"/>
      <c r="GO88" s="61" t="s">
        <v>91</v>
      </c>
      <c r="GP88" s="36"/>
      <c r="GS88" s="61">
        <f>SUM(GS63:GS75)</f>
        <v>84433423.23259027</v>
      </c>
      <c r="GT88" s="9"/>
      <c r="GU88" s="1"/>
    </row>
    <row r="89" spans="1:202" ht="18">
      <c r="A89" s="54" t="s">
        <v>76</v>
      </c>
      <c r="B89" s="68"/>
      <c r="C89" s="9"/>
      <c r="D89" s="9"/>
      <c r="E89" s="9"/>
      <c r="F89" s="9"/>
      <c r="G89" s="9"/>
      <c r="H89" s="9"/>
      <c r="I89" s="9"/>
      <c r="J89" s="9"/>
      <c r="K89" s="9"/>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2" t="s">
        <v>57</v>
      </c>
      <c r="GP89" s="36"/>
      <c r="GQ89" s="61"/>
      <c r="GR89" s="61"/>
      <c r="GS89" s="63"/>
      <c r="GT89" s="9"/>
    </row>
    <row r="90" spans="1:202" ht="18">
      <c r="A90" s="54"/>
      <c r="B90" s="68"/>
      <c r="C90" s="9"/>
      <c r="D90" s="9"/>
      <c r="E90" s="9"/>
      <c r="F90" s="9"/>
      <c r="G90" s="9"/>
      <c r="H90" s="9"/>
      <c r="I90" s="9"/>
      <c r="J90" s="9"/>
      <c r="K90" s="9"/>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2"/>
      <c r="GQ90" s="36"/>
      <c r="GR90" s="36"/>
      <c r="GS90" s="9"/>
      <c r="GT90" s="9"/>
    </row>
    <row r="91" spans="1:202" ht="18">
      <c r="A91" s="54"/>
      <c r="B91" s="68"/>
      <c r="C91" s="9"/>
      <c r="D91" s="9"/>
      <c r="E91" s="9"/>
      <c r="F91" s="9"/>
      <c r="G91" s="9"/>
      <c r="H91" s="9"/>
      <c r="I91" s="9"/>
      <c r="J91" s="9"/>
      <c r="K91" s="9"/>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2"/>
      <c r="GQ91" s="36"/>
      <c r="GR91" s="36"/>
      <c r="GS91" s="9"/>
      <c r="GT91" s="9"/>
    </row>
    <row r="92" spans="1:202" ht="20.25" customHeight="1">
      <c r="A92" s="94" t="s">
        <v>84</v>
      </c>
      <c r="B92" s="68"/>
      <c r="C92" s="9"/>
      <c r="D92" s="9"/>
      <c r="E92" s="9"/>
      <c r="F92" s="9"/>
      <c r="G92" s="9"/>
      <c r="H92" s="9"/>
      <c r="I92" s="9"/>
      <c r="J92" s="9"/>
      <c r="K92" s="9"/>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row>
    <row r="93" spans="1:202" ht="15.75" customHeight="1">
      <c r="A93" s="64"/>
      <c r="B93" s="68"/>
      <c r="C93" s="9"/>
      <c r="D93" s="9"/>
      <c r="E93" s="9"/>
      <c r="F93" s="9"/>
      <c r="G93" s="9"/>
      <c r="H93" s="9"/>
      <c r="I93" s="9"/>
      <c r="J93" s="9"/>
      <c r="K93" s="9"/>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row>
    <row r="94" spans="1:202" ht="15.75" customHeight="1">
      <c r="A94" s="16" t="s">
        <v>60</v>
      </c>
      <c r="B94" s="15"/>
      <c r="C94" s="16"/>
      <c r="D94" s="16"/>
      <c r="J94" s="9"/>
      <c r="K94" s="9"/>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row>
    <row r="95" spans="6:202" ht="15.75" customHeight="1">
      <c r="F95" s="15" t="s">
        <v>61</v>
      </c>
      <c r="G95" s="15"/>
      <c r="H95" s="15" t="s">
        <v>70</v>
      </c>
      <c r="J95" s="16" t="s">
        <v>71</v>
      </c>
      <c r="K95" s="16"/>
      <c r="M95" s="15" t="s">
        <v>52</v>
      </c>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row>
    <row r="96" spans="1:202" ht="15">
      <c r="A96" s="9" t="s">
        <v>68</v>
      </c>
      <c r="F96" s="87">
        <v>15600</v>
      </c>
      <c r="H96" s="89">
        <v>519</v>
      </c>
      <c r="I96" s="9"/>
      <c r="K96" s="90"/>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36"/>
    </row>
    <row r="97" spans="1:202" ht="15">
      <c r="A97" s="9" t="s">
        <v>72</v>
      </c>
      <c r="B97" s="69"/>
      <c r="C97" s="70"/>
      <c r="F97" s="87">
        <v>15600</v>
      </c>
      <c r="H97" s="89">
        <v>519</v>
      </c>
      <c r="I97" s="9"/>
      <c r="K97" s="90"/>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36"/>
    </row>
    <row r="98" spans="1:202" ht="15.75" customHeight="1">
      <c r="A98" s="9"/>
      <c r="B98" s="69"/>
      <c r="C98" s="70"/>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36"/>
    </row>
    <row r="99" spans="1:202" ht="20.25">
      <c r="A99" s="9"/>
      <c r="B99" s="68"/>
      <c r="C99" s="9"/>
      <c r="D99" s="8" t="s">
        <v>42</v>
      </c>
      <c r="E99" s="39"/>
      <c r="F99" s="9"/>
      <c r="G99" s="39"/>
      <c r="H99" s="9"/>
      <c r="I99" s="9"/>
      <c r="J99" s="63"/>
      <c r="K99" s="63"/>
      <c r="L99" s="63"/>
      <c r="M99" s="8" t="s">
        <v>43</v>
      </c>
      <c r="N99" s="9"/>
      <c r="O99" s="9"/>
      <c r="P99" s="9"/>
      <c r="Q99" s="9"/>
      <c r="R99" s="9"/>
      <c r="S99" s="9"/>
      <c r="T99" s="9"/>
      <c r="U99" s="9"/>
      <c r="V99" s="9"/>
      <c r="W99" s="9"/>
      <c r="X99" s="9"/>
      <c r="Y99" s="9"/>
      <c r="Z99" s="9"/>
      <c r="AA99" s="8" t="s">
        <v>44</v>
      </c>
      <c r="AB99" s="9"/>
      <c r="AC99" s="9"/>
      <c r="AD99" s="9"/>
      <c r="AE99" s="9"/>
      <c r="AF99" s="9"/>
      <c r="AG99" s="9"/>
      <c r="AH99" s="9"/>
      <c r="AI99" s="9"/>
      <c r="AJ99" s="9"/>
      <c r="AK99" s="9"/>
      <c r="AL99" s="9"/>
      <c r="AM99" s="9"/>
      <c r="AN99" s="8" t="s">
        <v>45</v>
      </c>
      <c r="AO99" s="9"/>
      <c r="AP99" s="9"/>
      <c r="AQ99" s="9"/>
      <c r="AR99" s="9"/>
      <c r="AS99" s="9"/>
      <c r="AT99" s="9"/>
      <c r="AU99" s="9"/>
      <c r="AV99" s="9"/>
      <c r="AW99" s="9"/>
      <c r="AX99" s="9"/>
      <c r="AY99" s="9"/>
      <c r="AZ99" s="9"/>
      <c r="BA99" s="8" t="s">
        <v>45</v>
      </c>
      <c r="BB99" s="9"/>
      <c r="BC99" s="9"/>
      <c r="BD99" s="9"/>
      <c r="BE99" s="9"/>
      <c r="BF99" s="9"/>
      <c r="BG99" s="9"/>
      <c r="BH99" s="9"/>
      <c r="BI99" s="9"/>
      <c r="BJ99" s="9"/>
      <c r="BK99" s="9"/>
      <c r="BL99" s="9"/>
      <c r="BM99" s="9"/>
      <c r="BN99" s="8" t="s">
        <v>44</v>
      </c>
      <c r="BO99" s="9"/>
      <c r="BP99" s="9"/>
      <c r="BQ99" s="9"/>
      <c r="BR99" s="9"/>
      <c r="BS99" s="9"/>
      <c r="BT99" s="9"/>
      <c r="BU99" s="9"/>
      <c r="BV99" s="9"/>
      <c r="BW99" s="9"/>
      <c r="BX99" s="9"/>
      <c r="BY99" s="9"/>
      <c r="BZ99" s="9"/>
      <c r="CA99" s="8" t="s">
        <v>44</v>
      </c>
      <c r="CB99" s="9"/>
      <c r="CC99" s="9"/>
      <c r="CD99" s="9"/>
      <c r="CE99" s="9"/>
      <c r="CF99" s="9"/>
      <c r="CG99" s="9"/>
      <c r="CH99" s="9"/>
      <c r="CI99" s="9"/>
      <c r="CJ99" s="9"/>
      <c r="CK99" s="9"/>
      <c r="CL99" s="9"/>
      <c r="CM99" s="9"/>
      <c r="CN99" s="8" t="s">
        <v>44</v>
      </c>
      <c r="CO99" s="9"/>
      <c r="CP99" s="9"/>
      <c r="CQ99" s="9"/>
      <c r="CR99" s="9"/>
      <c r="CS99" s="9"/>
      <c r="CT99" s="9"/>
      <c r="CU99" s="9"/>
      <c r="CV99" s="9"/>
      <c r="CW99" s="9"/>
      <c r="CX99" s="9"/>
      <c r="CY99" s="9"/>
      <c r="CZ99" s="8" t="s">
        <v>44</v>
      </c>
      <c r="DA99" s="9"/>
      <c r="DB99" s="9"/>
      <c r="DC99" s="8" t="s">
        <v>46</v>
      </c>
      <c r="DD99" s="8"/>
      <c r="DE99" s="9"/>
      <c r="DF99" s="9"/>
      <c r="DG99" s="9"/>
      <c r="DH99" s="9"/>
      <c r="DI99" s="9"/>
      <c r="DJ99" s="9"/>
      <c r="DK99" s="9"/>
      <c r="DL99" s="9"/>
      <c r="DM99" s="9"/>
      <c r="DN99" s="9"/>
      <c r="DO99" s="9"/>
      <c r="DP99" s="9"/>
      <c r="DQ99" s="8" t="s">
        <v>48</v>
      </c>
      <c r="DR99" s="9"/>
      <c r="DS99" s="9"/>
      <c r="DT99" s="9"/>
      <c r="DU99" s="9"/>
      <c r="DV99" s="9"/>
      <c r="DW99" s="9"/>
      <c r="DX99" s="9"/>
      <c r="DY99" s="9"/>
      <c r="DZ99" s="9"/>
      <c r="EA99" s="9"/>
      <c r="EB99" s="9"/>
      <c r="EC99" s="9"/>
      <c r="ED99" s="8" t="s">
        <v>47</v>
      </c>
      <c r="EE99" s="9"/>
      <c r="EF99" s="9"/>
      <c r="EG99" s="9"/>
      <c r="EH99" s="9"/>
      <c r="EI99" s="9"/>
      <c r="EJ99" s="9"/>
      <c r="EK99" s="9"/>
      <c r="EL99" s="9"/>
      <c r="EM99" s="9"/>
      <c r="EN99" s="9"/>
      <c r="EO99" s="9"/>
      <c r="EP99" s="9"/>
      <c r="EQ99" s="8" t="s">
        <v>47</v>
      </c>
      <c r="ER99" s="9"/>
      <c r="ES99" s="9"/>
      <c r="ET99" s="9"/>
      <c r="EU99" s="9"/>
      <c r="EV99" s="9"/>
      <c r="EW99" s="9"/>
      <c r="EX99" s="9"/>
      <c r="EY99" s="9"/>
      <c r="EZ99" s="9"/>
      <c r="FA99" s="9"/>
      <c r="FB99" s="9"/>
      <c r="FC99" s="9"/>
      <c r="FD99" s="8" t="s">
        <v>48</v>
      </c>
      <c r="FE99" s="9"/>
      <c r="FF99" s="9"/>
      <c r="FG99" s="9"/>
      <c r="FH99" s="9"/>
      <c r="FI99" s="9"/>
      <c r="FJ99" s="9"/>
      <c r="FK99" s="9"/>
      <c r="FL99" s="9"/>
      <c r="FM99" s="9"/>
      <c r="FN99" s="9"/>
      <c r="FO99" s="9"/>
      <c r="FP99" s="9"/>
      <c r="FQ99" s="8" t="s">
        <v>48</v>
      </c>
      <c r="FR99" s="9"/>
      <c r="FS99" s="9"/>
      <c r="FT99" s="9"/>
      <c r="FU99" s="9"/>
      <c r="FV99" s="9"/>
      <c r="FW99" s="9"/>
      <c r="FX99" s="9"/>
      <c r="FY99" s="9"/>
      <c r="FZ99" s="9"/>
      <c r="GA99" s="9"/>
      <c r="GB99" s="9"/>
      <c r="GC99" s="9"/>
      <c r="GD99" s="8" t="s">
        <v>48</v>
      </c>
      <c r="GE99" s="9"/>
      <c r="GF99" s="9"/>
      <c r="GG99" s="9"/>
      <c r="GH99" s="9"/>
      <c r="GI99" s="9"/>
      <c r="GJ99" s="9"/>
      <c r="GK99" s="9"/>
      <c r="GL99" s="9"/>
      <c r="GM99" s="9"/>
      <c r="GN99" s="9"/>
      <c r="GO99" s="9"/>
      <c r="GP99" s="8" t="s">
        <v>47</v>
      </c>
      <c r="GQ99" s="63"/>
      <c r="GR99" s="63"/>
      <c r="GS99" s="9"/>
      <c r="GT99" s="36"/>
    </row>
    <row r="100" spans="1:202" ht="121.5" customHeight="1" thickBot="1">
      <c r="A100" s="42" t="s">
        <v>18</v>
      </c>
      <c r="B100" s="55" t="s">
        <v>19</v>
      </c>
      <c r="C100" s="42" t="s">
        <v>20</v>
      </c>
      <c r="D100" s="42" t="s">
        <v>0</v>
      </c>
      <c r="E100" s="42" t="s">
        <v>1</v>
      </c>
      <c r="F100" s="42" t="s">
        <v>29</v>
      </c>
      <c r="G100" s="42" t="s">
        <v>28</v>
      </c>
      <c r="H100" s="42" t="s">
        <v>30</v>
      </c>
      <c r="I100" s="42" t="s">
        <v>27</v>
      </c>
      <c r="J100" s="42" t="s">
        <v>26</v>
      </c>
      <c r="K100" s="56" t="s">
        <v>53</v>
      </c>
      <c r="L100" s="40" t="s">
        <v>22</v>
      </c>
      <c r="M100" s="50" t="s">
        <v>20</v>
      </c>
      <c r="N100" s="71"/>
      <c r="O100" s="71"/>
      <c r="P100" s="71"/>
      <c r="Q100" s="71"/>
      <c r="R100" s="71"/>
      <c r="S100" s="71"/>
      <c r="T100" s="71"/>
      <c r="U100" s="71"/>
      <c r="V100" s="71"/>
      <c r="W100" s="71"/>
      <c r="X100" s="71"/>
      <c r="Y100" s="72"/>
      <c r="Z100" s="48" t="s">
        <v>0</v>
      </c>
      <c r="AA100" s="73"/>
      <c r="AB100" s="73"/>
      <c r="AC100" s="73"/>
      <c r="AD100" s="73"/>
      <c r="AE100" s="73"/>
      <c r="AF100" s="73"/>
      <c r="AG100" s="73"/>
      <c r="AH100" s="73"/>
      <c r="AI100" s="73"/>
      <c r="AJ100" s="73"/>
      <c r="AK100" s="73"/>
      <c r="AL100" s="73"/>
      <c r="AM100" s="45" t="s">
        <v>31</v>
      </c>
      <c r="AN100" s="73"/>
      <c r="AO100" s="73"/>
      <c r="AP100" s="73"/>
      <c r="AQ100" s="73"/>
      <c r="AR100" s="73"/>
      <c r="AS100" s="73"/>
      <c r="AT100" s="73"/>
      <c r="AU100" s="73"/>
      <c r="AV100" s="73"/>
      <c r="AW100" s="73"/>
      <c r="AX100" s="73"/>
      <c r="AY100" s="73"/>
      <c r="AZ100" s="45" t="s">
        <v>32</v>
      </c>
      <c r="BA100" s="73"/>
      <c r="BB100" s="73"/>
      <c r="BC100" s="73"/>
      <c r="BD100" s="73"/>
      <c r="BE100" s="73"/>
      <c r="BF100" s="73"/>
      <c r="BG100" s="73"/>
      <c r="BH100" s="73"/>
      <c r="BI100" s="73"/>
      <c r="BJ100" s="73"/>
      <c r="BK100" s="73"/>
      <c r="BL100" s="74"/>
      <c r="BM100" s="48" t="s">
        <v>34</v>
      </c>
      <c r="BN100" s="73"/>
      <c r="BO100" s="91" t="s">
        <v>78</v>
      </c>
      <c r="BP100" s="73"/>
      <c r="BQ100" s="73"/>
      <c r="BR100" s="73"/>
      <c r="BS100" s="73"/>
      <c r="BT100" s="73"/>
      <c r="BU100" s="73"/>
      <c r="BV100" s="73"/>
      <c r="BW100" s="73"/>
      <c r="BX100" s="73"/>
      <c r="BY100" s="74"/>
      <c r="BZ100" s="45" t="s">
        <v>33</v>
      </c>
      <c r="CA100" s="73"/>
      <c r="CB100" s="91" t="s">
        <v>78</v>
      </c>
      <c r="CC100" s="73"/>
      <c r="CD100" s="73"/>
      <c r="CE100" s="73"/>
      <c r="CF100" s="73"/>
      <c r="CG100" s="73"/>
      <c r="CH100" s="73"/>
      <c r="CI100" s="73"/>
      <c r="CJ100" s="73"/>
      <c r="CK100" s="73"/>
      <c r="CL100" s="74"/>
      <c r="CM100" s="48" t="s">
        <v>35</v>
      </c>
      <c r="CN100" s="73"/>
      <c r="CO100" s="73"/>
      <c r="CP100" s="73"/>
      <c r="CQ100" s="73"/>
      <c r="CR100" s="73"/>
      <c r="CS100" s="73"/>
      <c r="CT100" s="73"/>
      <c r="CU100" s="73"/>
      <c r="CV100" s="73"/>
      <c r="CW100" s="73"/>
      <c r="CX100" s="73"/>
      <c r="CY100" s="74"/>
      <c r="CZ100" s="42" t="s">
        <v>23</v>
      </c>
      <c r="DA100" s="41" t="s">
        <v>49</v>
      </c>
      <c r="DB100" s="40" t="s">
        <v>25</v>
      </c>
      <c r="DC100" s="45" t="s">
        <v>20</v>
      </c>
      <c r="DD100" s="73"/>
      <c r="DE100" s="73"/>
      <c r="DF100" s="73"/>
      <c r="DG100" s="73"/>
      <c r="DH100" s="73"/>
      <c r="DI100" s="73"/>
      <c r="DJ100" s="73"/>
      <c r="DK100" s="73"/>
      <c r="DL100" s="73"/>
      <c r="DM100" s="73"/>
      <c r="DN100" s="73"/>
      <c r="DO100" s="74"/>
      <c r="DP100" s="45" t="s">
        <v>0</v>
      </c>
      <c r="DQ100" s="73"/>
      <c r="DR100" s="73"/>
      <c r="DS100" s="73"/>
      <c r="DT100" s="73"/>
      <c r="DU100" s="73"/>
      <c r="DV100" s="73"/>
      <c r="DW100" s="73"/>
      <c r="DX100" s="73"/>
      <c r="DY100" s="73"/>
      <c r="DZ100" s="73"/>
      <c r="EA100" s="73"/>
      <c r="EB100" s="74"/>
      <c r="EC100" s="45" t="s">
        <v>36</v>
      </c>
      <c r="ED100" s="73"/>
      <c r="EE100" s="73"/>
      <c r="EF100" s="73"/>
      <c r="EG100" s="73"/>
      <c r="EH100" s="73"/>
      <c r="EI100" s="73"/>
      <c r="EJ100" s="73"/>
      <c r="EK100" s="73"/>
      <c r="EL100" s="73"/>
      <c r="EM100" s="73"/>
      <c r="EN100" s="73"/>
      <c r="EO100" s="74"/>
      <c r="EP100" s="45" t="s">
        <v>24</v>
      </c>
      <c r="EQ100" s="43"/>
      <c r="ER100" s="43"/>
      <c r="ES100" s="43"/>
      <c r="ET100" s="43"/>
      <c r="EU100" s="43"/>
      <c r="EV100" s="43"/>
      <c r="EW100" s="43"/>
      <c r="EX100" s="43"/>
      <c r="EY100" s="43"/>
      <c r="EZ100" s="43"/>
      <c r="FA100" s="43"/>
      <c r="FB100" s="44"/>
      <c r="FC100" s="45" t="s">
        <v>37</v>
      </c>
      <c r="FD100" s="43"/>
      <c r="FE100" s="91" t="s">
        <v>86</v>
      </c>
      <c r="FF100" s="43"/>
      <c r="FG100" s="43"/>
      <c r="FH100" s="43"/>
      <c r="FI100" s="43"/>
      <c r="FJ100" s="43"/>
      <c r="FK100" s="43"/>
      <c r="FL100" s="43"/>
      <c r="FM100" s="43"/>
      <c r="FN100" s="43"/>
      <c r="FO100" s="74"/>
      <c r="FP100" s="45" t="s">
        <v>38</v>
      </c>
      <c r="FQ100" s="43"/>
      <c r="FR100" s="91" t="s">
        <v>86</v>
      </c>
      <c r="FS100" s="43"/>
      <c r="FT100" s="43"/>
      <c r="FU100" s="43"/>
      <c r="FV100" s="43"/>
      <c r="FW100" s="43"/>
      <c r="FX100" s="43"/>
      <c r="FY100" s="43"/>
      <c r="FZ100" s="43"/>
      <c r="GA100" s="73"/>
      <c r="GB100" s="74"/>
      <c r="GC100" s="48" t="s">
        <v>39</v>
      </c>
      <c r="GD100" s="43"/>
      <c r="GE100" s="43"/>
      <c r="GF100" s="43"/>
      <c r="GG100" s="43"/>
      <c r="GH100" s="43"/>
      <c r="GI100" s="43"/>
      <c r="GJ100" s="43"/>
      <c r="GK100" s="43"/>
      <c r="GL100" s="43"/>
      <c r="GM100" s="43"/>
      <c r="GN100" s="73"/>
      <c r="GO100" s="74"/>
      <c r="GP100" s="43" t="s">
        <v>77</v>
      </c>
      <c r="GQ100" s="41" t="s">
        <v>50</v>
      </c>
      <c r="GR100" s="41" t="s">
        <v>89</v>
      </c>
      <c r="GS100" s="40" t="s">
        <v>51</v>
      </c>
      <c r="GT100" s="36"/>
    </row>
    <row r="101" spans="1:202" ht="16.5" thickTop="1">
      <c r="A101" s="9">
        <v>-2001</v>
      </c>
      <c r="B101" s="49">
        <v>2008</v>
      </c>
      <c r="C101" s="31">
        <f aca="true" t="shared" si="359" ref="C101:K101">C25</f>
        <v>2125</v>
      </c>
      <c r="D101" s="31">
        <f t="shared" si="359"/>
        <v>880</v>
      </c>
      <c r="E101" s="31">
        <f t="shared" si="359"/>
        <v>11162</v>
      </c>
      <c r="F101" s="31">
        <f t="shared" si="359"/>
        <v>3721</v>
      </c>
      <c r="G101" s="31">
        <f t="shared" si="359"/>
        <v>856</v>
      </c>
      <c r="H101" s="31">
        <f t="shared" si="359"/>
        <v>285</v>
      </c>
      <c r="I101" s="31">
        <f t="shared" si="359"/>
        <v>822</v>
      </c>
      <c r="J101" s="84">
        <f t="shared" si="359"/>
        <v>16846</v>
      </c>
      <c r="K101" s="85">
        <f t="shared" si="359"/>
        <v>19851</v>
      </c>
      <c r="L101" s="36">
        <f>$F$96*0.1295</f>
        <v>2020.2</v>
      </c>
      <c r="M101" s="36">
        <f>$C$101*$L$101</f>
        <v>4292925</v>
      </c>
      <c r="N101" s="36"/>
      <c r="O101" s="36"/>
      <c r="P101" s="36"/>
      <c r="Q101" s="36"/>
      <c r="R101" s="36"/>
      <c r="S101" s="36"/>
      <c r="T101" s="36"/>
      <c r="U101" s="36"/>
      <c r="V101" s="36"/>
      <c r="W101" s="36"/>
      <c r="X101" s="36"/>
      <c r="Y101" s="77"/>
      <c r="Z101" s="36">
        <f>$D$101*$L$101</f>
        <v>1777776</v>
      </c>
      <c r="AA101" s="36"/>
      <c r="AB101" s="36"/>
      <c r="AC101" s="36"/>
      <c r="AD101" s="36"/>
      <c r="AE101" s="36"/>
      <c r="AF101" s="36"/>
      <c r="AG101" s="36"/>
      <c r="AH101" s="36"/>
      <c r="AI101" s="36"/>
      <c r="AJ101" s="36"/>
      <c r="AK101" s="36"/>
      <c r="AL101" s="77"/>
      <c r="AM101" s="36">
        <f>$E$101*$L$101</f>
        <v>22549472.400000002</v>
      </c>
      <c r="AN101" s="36"/>
      <c r="AO101" s="36"/>
      <c r="AP101" s="36"/>
      <c r="AQ101" s="36"/>
      <c r="AR101" s="36"/>
      <c r="AS101" s="36"/>
      <c r="AT101" s="36"/>
      <c r="AU101" s="36"/>
      <c r="AV101" s="36"/>
      <c r="AW101" s="36"/>
      <c r="AX101" s="36"/>
      <c r="AY101" s="77"/>
      <c r="AZ101" s="36">
        <f>$F$101*$L$101</f>
        <v>7517164.2</v>
      </c>
      <c r="BA101" s="36"/>
      <c r="BB101" s="36"/>
      <c r="BC101" s="36"/>
      <c r="BD101" s="36"/>
      <c r="BE101" s="36"/>
      <c r="BF101" s="36"/>
      <c r="BG101" s="36"/>
      <c r="BH101" s="36"/>
      <c r="BI101" s="36"/>
      <c r="BJ101" s="36"/>
      <c r="BK101" s="36"/>
      <c r="BL101" s="77"/>
      <c r="BM101" s="36"/>
      <c r="BN101" s="36"/>
      <c r="BO101" s="36"/>
      <c r="BP101" s="36"/>
      <c r="BQ101" s="36"/>
      <c r="BR101" s="36"/>
      <c r="BS101" s="36"/>
      <c r="BT101" s="36"/>
      <c r="BU101" s="36"/>
      <c r="BV101" s="36"/>
      <c r="BW101" s="36"/>
      <c r="BX101" s="36"/>
      <c r="BY101" s="77"/>
      <c r="BZ101" s="36"/>
      <c r="CA101" s="36"/>
      <c r="CB101" s="36"/>
      <c r="CC101" s="36"/>
      <c r="CD101" s="36"/>
      <c r="CE101" s="36"/>
      <c r="CF101" s="36"/>
      <c r="CG101" s="36"/>
      <c r="CH101" s="36"/>
      <c r="CI101" s="36"/>
      <c r="CJ101" s="36"/>
      <c r="CK101" s="36"/>
      <c r="CL101" s="77"/>
      <c r="CM101" s="36">
        <f>$I$101*$L$101</f>
        <v>1660604.4000000001</v>
      </c>
      <c r="CN101" s="36"/>
      <c r="CO101" s="36"/>
      <c r="CP101" s="36"/>
      <c r="CQ101" s="36"/>
      <c r="CR101" s="36"/>
      <c r="CS101" s="36"/>
      <c r="CT101" s="36"/>
      <c r="CU101" s="36"/>
      <c r="CV101" s="36"/>
      <c r="CW101" s="36"/>
      <c r="CX101" s="36"/>
      <c r="CY101" s="36"/>
      <c r="CZ101" s="36">
        <f aca="true" t="shared" si="360" ref="CZ101:CZ122">SUM(M101:CY101)</f>
        <v>37797942</v>
      </c>
      <c r="DA101" s="88">
        <f>CZ101*(1+$E$10)^-6</f>
        <v>28205406.281578247</v>
      </c>
      <c r="DB101" s="81">
        <f>$H$96</f>
        <v>519</v>
      </c>
      <c r="DC101" s="36">
        <f>$C$101*$DB$101</f>
        <v>1102875</v>
      </c>
      <c r="DD101" s="36"/>
      <c r="DE101" s="36"/>
      <c r="DF101" s="36"/>
      <c r="DG101" s="36"/>
      <c r="DH101" s="36"/>
      <c r="DI101" s="36"/>
      <c r="DJ101" s="36"/>
      <c r="DK101" s="36"/>
      <c r="DL101" s="36"/>
      <c r="DM101" s="36"/>
      <c r="DN101" s="36"/>
      <c r="DO101" s="77"/>
      <c r="DP101" s="36">
        <f>$D$101*$DB$101</f>
        <v>456720</v>
      </c>
      <c r="DQ101" s="36"/>
      <c r="DR101" s="36"/>
      <c r="DS101" s="36"/>
      <c r="DT101" s="36"/>
      <c r="DU101" s="36"/>
      <c r="DV101" s="36"/>
      <c r="DW101" s="36"/>
      <c r="DX101" s="36"/>
      <c r="DY101" s="36"/>
      <c r="DZ101" s="36"/>
      <c r="EA101" s="36"/>
      <c r="EB101" s="77"/>
      <c r="EC101" s="36">
        <f>$E$101*$DB$101</f>
        <v>5793078</v>
      </c>
      <c r="ED101" s="36"/>
      <c r="EE101" s="36"/>
      <c r="EF101" s="36"/>
      <c r="EG101" s="36"/>
      <c r="EH101" s="36"/>
      <c r="EI101" s="36"/>
      <c r="EJ101" s="36"/>
      <c r="EK101" s="36"/>
      <c r="EL101" s="36"/>
      <c r="EM101" s="36"/>
      <c r="EN101" s="36"/>
      <c r="EO101" s="77"/>
      <c r="EP101" s="36">
        <f>$F$101*$DB$101</f>
        <v>1931199</v>
      </c>
      <c r="EQ101" s="36"/>
      <c r="ER101" s="36"/>
      <c r="ES101" s="36"/>
      <c r="ET101" s="36"/>
      <c r="EU101" s="36"/>
      <c r="EV101" s="36"/>
      <c r="EW101" s="36"/>
      <c r="EX101" s="36"/>
      <c r="EY101" s="36"/>
      <c r="EZ101" s="36"/>
      <c r="FA101" s="36"/>
      <c r="FB101" s="77"/>
      <c r="FC101" s="36"/>
      <c r="FD101" s="36"/>
      <c r="FE101" s="36"/>
      <c r="FF101" s="36"/>
      <c r="FG101" s="36"/>
      <c r="FH101" s="36"/>
      <c r="FI101" s="36"/>
      <c r="FJ101" s="36"/>
      <c r="FK101" s="36"/>
      <c r="FL101" s="36"/>
      <c r="FM101" s="36"/>
      <c r="FN101" s="36"/>
      <c r="FO101" s="77"/>
      <c r="FP101" s="36"/>
      <c r="FQ101" s="36"/>
      <c r="FR101" s="36"/>
      <c r="FS101" s="36"/>
      <c r="FT101" s="36"/>
      <c r="FU101" s="36"/>
      <c r="FV101" s="36"/>
      <c r="FW101" s="36"/>
      <c r="FX101" s="36"/>
      <c r="FY101" s="36"/>
      <c r="FZ101" s="36"/>
      <c r="GA101" s="36"/>
      <c r="GB101" s="77"/>
      <c r="GC101" s="36">
        <f>$I$101*$DB$101</f>
        <v>426618</v>
      </c>
      <c r="GD101" s="36"/>
      <c r="GE101" s="36"/>
      <c r="GF101" s="36"/>
      <c r="GG101" s="36"/>
      <c r="GH101" s="36"/>
      <c r="GI101" s="36"/>
      <c r="GJ101" s="36"/>
      <c r="GK101" s="36"/>
      <c r="GL101" s="36"/>
      <c r="GM101" s="36"/>
      <c r="GN101" s="36"/>
      <c r="GO101" s="77"/>
      <c r="GP101" s="36">
        <f>SUM(DC101:GO101)</f>
        <v>9710490</v>
      </c>
      <c r="GQ101" s="38">
        <f>GP101*(1+$E$11)^-6</f>
        <v>7246117.146886006</v>
      </c>
      <c r="GR101" s="38">
        <f>CZ101+GP101</f>
        <v>47508432</v>
      </c>
      <c r="GS101" s="51">
        <f aca="true" t="shared" si="361" ref="GS101:GS122">DA101+GQ101</f>
        <v>35451523.42846425</v>
      </c>
      <c r="GT101" s="36"/>
    </row>
    <row r="102" spans="1:202" ht="15.75">
      <c r="A102" s="9">
        <v>2002</v>
      </c>
      <c r="B102" s="49">
        <v>2009</v>
      </c>
      <c r="C102" s="31">
        <f aca="true" t="shared" si="362" ref="C102:K102">C26</f>
        <v>311</v>
      </c>
      <c r="D102" s="31">
        <f t="shared" si="362"/>
        <v>124</v>
      </c>
      <c r="E102" s="31">
        <f t="shared" si="362"/>
        <v>1419</v>
      </c>
      <c r="F102" s="31">
        <f t="shared" si="362"/>
        <v>473</v>
      </c>
      <c r="G102" s="31">
        <f t="shared" si="362"/>
        <v>156</v>
      </c>
      <c r="H102" s="31">
        <f t="shared" si="362"/>
        <v>52</v>
      </c>
      <c r="I102" s="31">
        <f t="shared" si="362"/>
        <v>105</v>
      </c>
      <c r="J102" s="84">
        <f t="shared" si="362"/>
        <v>2205</v>
      </c>
      <c r="K102" s="86">
        <f t="shared" si="362"/>
        <v>2640</v>
      </c>
      <c r="L102" s="36">
        <f>$F$96*0.1295</f>
        <v>2020.2</v>
      </c>
      <c r="M102" s="36">
        <f aca="true" t="shared" si="363" ref="M102:M110">$C$101*$L$101</f>
        <v>4292925</v>
      </c>
      <c r="N102" s="36">
        <f>$C$102*$L$102</f>
        <v>628282.2000000001</v>
      </c>
      <c r="O102" s="36"/>
      <c r="P102" s="36"/>
      <c r="Q102" s="36"/>
      <c r="R102" s="36"/>
      <c r="S102" s="36"/>
      <c r="T102" s="36"/>
      <c r="U102" s="36"/>
      <c r="V102" s="36"/>
      <c r="W102" s="36"/>
      <c r="X102" s="36"/>
      <c r="Y102" s="47"/>
      <c r="Z102" s="36">
        <f aca="true" t="shared" si="364" ref="Z102:Z110">$D$101*$L$101</f>
        <v>1777776</v>
      </c>
      <c r="AA102" s="36">
        <f>$D$102*$L$102</f>
        <v>250504.80000000002</v>
      </c>
      <c r="AB102" s="36"/>
      <c r="AC102" s="36"/>
      <c r="AD102" s="36"/>
      <c r="AE102" s="36"/>
      <c r="AF102" s="36"/>
      <c r="AG102" s="36"/>
      <c r="AH102" s="36"/>
      <c r="AI102" s="36"/>
      <c r="AJ102" s="36"/>
      <c r="AK102" s="36"/>
      <c r="AL102" s="47"/>
      <c r="AM102" s="36">
        <f aca="true" t="shared" si="365" ref="AM102:AM110">$E$101*$L$101</f>
        <v>22549472.400000002</v>
      </c>
      <c r="AN102" s="36">
        <f>$E$102*$L$102</f>
        <v>2866663.8000000003</v>
      </c>
      <c r="AO102" s="36"/>
      <c r="AP102" s="36"/>
      <c r="AQ102" s="36"/>
      <c r="AR102" s="36"/>
      <c r="AS102" s="36"/>
      <c r="AT102" s="36"/>
      <c r="AU102" s="36"/>
      <c r="AV102" s="36"/>
      <c r="AW102" s="36"/>
      <c r="AX102" s="36"/>
      <c r="AY102" s="47"/>
      <c r="AZ102" s="36">
        <f aca="true" t="shared" si="366" ref="AZ102:AZ110">$F$101*$L$101</f>
        <v>7517164.2</v>
      </c>
      <c r="BA102" s="36">
        <f>$F$102*$L$102</f>
        <v>955554.6</v>
      </c>
      <c r="BB102" s="36"/>
      <c r="BC102" s="36"/>
      <c r="BD102" s="36"/>
      <c r="BE102" s="36"/>
      <c r="BF102" s="36"/>
      <c r="BG102" s="36"/>
      <c r="BH102" s="36"/>
      <c r="BI102" s="36"/>
      <c r="BJ102" s="36"/>
      <c r="BK102" s="36"/>
      <c r="BL102" s="47"/>
      <c r="BM102" s="36"/>
      <c r="BN102" s="36"/>
      <c r="BO102" s="36"/>
      <c r="BP102" s="36"/>
      <c r="BQ102" s="36"/>
      <c r="BR102" s="36"/>
      <c r="BS102" s="36"/>
      <c r="BT102" s="36"/>
      <c r="BU102" s="36"/>
      <c r="BV102" s="36"/>
      <c r="BW102" s="36"/>
      <c r="BX102" s="36"/>
      <c r="BY102" s="47"/>
      <c r="BZ102" s="36"/>
      <c r="CA102" s="36"/>
      <c r="CB102" s="36"/>
      <c r="CC102" s="36"/>
      <c r="CD102" s="36"/>
      <c r="CE102" s="36"/>
      <c r="CF102" s="36"/>
      <c r="CG102" s="36"/>
      <c r="CH102" s="36"/>
      <c r="CI102" s="36"/>
      <c r="CJ102" s="36"/>
      <c r="CK102" s="36"/>
      <c r="CL102" s="47"/>
      <c r="CM102" s="36">
        <f aca="true" t="shared" si="367" ref="CM102:CM110">$I$101*$L$101</f>
        <v>1660604.4000000001</v>
      </c>
      <c r="CN102" s="36">
        <f>$I$102*$L$102</f>
        <v>212121</v>
      </c>
      <c r="CO102" s="36"/>
      <c r="CP102" s="36"/>
      <c r="CQ102" s="36"/>
      <c r="CR102" s="36"/>
      <c r="CS102" s="36"/>
      <c r="CT102" s="36"/>
      <c r="CU102" s="36"/>
      <c r="CV102" s="36"/>
      <c r="CW102" s="36"/>
      <c r="CX102" s="36"/>
      <c r="CY102" s="36"/>
      <c r="CZ102" s="36">
        <f t="shared" si="360"/>
        <v>42711068.400000006</v>
      </c>
      <c r="DA102" s="38">
        <f>CZ102*(1+$E$10)^-7</f>
        <v>30353958.901790604</v>
      </c>
      <c r="DB102" s="47">
        <f>$H$96</f>
        <v>519</v>
      </c>
      <c r="DC102" s="36">
        <f aca="true" t="shared" si="368" ref="DC102:DC110">$C$101*$DB$101</f>
        <v>1102875</v>
      </c>
      <c r="DD102" s="36">
        <f>$C$102*$DB$102</f>
        <v>161409</v>
      </c>
      <c r="DE102" s="36"/>
      <c r="DF102" s="36"/>
      <c r="DG102" s="36"/>
      <c r="DH102" s="36"/>
      <c r="DI102" s="36"/>
      <c r="DJ102" s="36"/>
      <c r="DK102" s="36"/>
      <c r="DL102" s="36"/>
      <c r="DM102" s="36"/>
      <c r="DN102" s="36"/>
      <c r="DO102" s="47"/>
      <c r="DP102" s="36">
        <f aca="true" t="shared" si="369" ref="DP102:DP110">$D$101*$DB$101</f>
        <v>456720</v>
      </c>
      <c r="DQ102" s="36">
        <f>$D$102*$DB$102</f>
        <v>64356</v>
      </c>
      <c r="DR102" s="36"/>
      <c r="DS102" s="36"/>
      <c r="DT102" s="36"/>
      <c r="DU102" s="36"/>
      <c r="DV102" s="36"/>
      <c r="DW102" s="36"/>
      <c r="DX102" s="36"/>
      <c r="DY102" s="36"/>
      <c r="DZ102" s="36"/>
      <c r="EA102" s="36"/>
      <c r="EB102" s="47"/>
      <c r="EC102" s="36">
        <f aca="true" t="shared" si="370" ref="EC102:EC110">$E$101*$DB$101</f>
        <v>5793078</v>
      </c>
      <c r="ED102" s="36">
        <f>$E$102*$DB$102</f>
        <v>736461</v>
      </c>
      <c r="EE102" s="36"/>
      <c r="EF102" s="36"/>
      <c r="EG102" s="36"/>
      <c r="EH102" s="36"/>
      <c r="EI102" s="36"/>
      <c r="EJ102" s="36"/>
      <c r="EK102" s="36"/>
      <c r="EL102" s="36"/>
      <c r="EM102" s="36"/>
      <c r="EN102" s="36"/>
      <c r="EO102" s="47"/>
      <c r="EP102" s="36">
        <f aca="true" t="shared" si="371" ref="EP102:EP110">$F$101*$DB$101</f>
        <v>1931199</v>
      </c>
      <c r="EQ102" s="36">
        <f>$F$102*$DB$102</f>
        <v>245487</v>
      </c>
      <c r="ER102" s="36"/>
      <c r="ES102" s="36"/>
      <c r="ET102" s="36"/>
      <c r="EU102" s="36"/>
      <c r="EV102" s="36"/>
      <c r="EW102" s="36"/>
      <c r="EX102" s="36"/>
      <c r="EY102" s="36"/>
      <c r="EZ102" s="36"/>
      <c r="FA102" s="36"/>
      <c r="FB102" s="47"/>
      <c r="FC102" s="36"/>
      <c r="FD102" s="36"/>
      <c r="FE102" s="36"/>
      <c r="FF102" s="36"/>
      <c r="FG102" s="36"/>
      <c r="FH102" s="36"/>
      <c r="FI102" s="36"/>
      <c r="FJ102" s="36"/>
      <c r="FK102" s="36"/>
      <c r="FL102" s="36"/>
      <c r="FM102" s="36"/>
      <c r="FN102" s="36"/>
      <c r="FO102" s="47"/>
      <c r="FP102" s="36"/>
      <c r="FQ102" s="36"/>
      <c r="FR102" s="36"/>
      <c r="FS102" s="36"/>
      <c r="FT102" s="36"/>
      <c r="FU102" s="36"/>
      <c r="FV102" s="36"/>
      <c r="FW102" s="36"/>
      <c r="FX102" s="36"/>
      <c r="FY102" s="36"/>
      <c r="FZ102" s="36"/>
      <c r="GA102" s="36"/>
      <c r="GB102" s="47"/>
      <c r="GC102" s="36">
        <f aca="true" t="shared" si="372" ref="GC102:GC110">$I$101*$DB$101</f>
        <v>426618</v>
      </c>
      <c r="GD102" s="36">
        <f>$I$102*$DB$102</f>
        <v>54495</v>
      </c>
      <c r="GE102" s="36"/>
      <c r="GF102" s="36"/>
      <c r="GG102" s="36"/>
      <c r="GH102" s="36"/>
      <c r="GI102" s="36"/>
      <c r="GJ102" s="36"/>
      <c r="GK102" s="36"/>
      <c r="GL102" s="36"/>
      <c r="GM102" s="36"/>
      <c r="GN102" s="36"/>
      <c r="GO102" s="47"/>
      <c r="GP102" s="36">
        <f>SUM(DC102:GO102)</f>
        <v>10972698</v>
      </c>
      <c r="GQ102" s="38">
        <f>GP102*(1+$E$11)^-7</f>
        <v>7798091.609756123</v>
      </c>
      <c r="GR102" s="38">
        <f aca="true" t="shared" si="373" ref="GR102:GR122">CZ102+GP102</f>
        <v>53683766.400000006</v>
      </c>
      <c r="GS102" s="52">
        <f t="shared" si="361"/>
        <v>38152050.51154673</v>
      </c>
      <c r="GT102" s="36"/>
    </row>
    <row r="103" spans="1:202" ht="15.75">
      <c r="A103" s="9">
        <v>2003</v>
      </c>
      <c r="B103" s="49">
        <v>2010</v>
      </c>
      <c r="C103" s="31">
        <f aca="true" t="shared" si="374" ref="C103:K103">C27</f>
        <v>326</v>
      </c>
      <c r="D103" s="31">
        <f t="shared" si="374"/>
        <v>128</v>
      </c>
      <c r="E103" s="31">
        <f t="shared" si="374"/>
        <v>1493</v>
      </c>
      <c r="F103" s="31">
        <f t="shared" si="374"/>
        <v>498</v>
      </c>
      <c r="G103" s="31">
        <f t="shared" si="374"/>
        <v>172</v>
      </c>
      <c r="H103" s="31">
        <f t="shared" si="374"/>
        <v>57</v>
      </c>
      <c r="I103" s="31">
        <f t="shared" si="374"/>
        <v>110</v>
      </c>
      <c r="J103" s="84">
        <f t="shared" si="374"/>
        <v>2330</v>
      </c>
      <c r="K103" s="86">
        <f t="shared" si="374"/>
        <v>2784</v>
      </c>
      <c r="L103" s="36">
        <f aca="true" t="shared" si="375" ref="L103:L113">$F$97*0.1295</f>
        <v>2020.2</v>
      </c>
      <c r="M103" s="36">
        <f t="shared" si="363"/>
        <v>4292925</v>
      </c>
      <c r="N103" s="36">
        <f aca="true" t="shared" si="376" ref="N103:N111">$C$102*$L$102</f>
        <v>628282.2000000001</v>
      </c>
      <c r="O103" s="36">
        <f>$C$103*$L$103</f>
        <v>658585.2000000001</v>
      </c>
      <c r="P103" s="36"/>
      <c r="Q103" s="36"/>
      <c r="R103" s="36"/>
      <c r="S103" s="36"/>
      <c r="T103" s="36"/>
      <c r="U103" s="36"/>
      <c r="V103" s="36"/>
      <c r="W103" s="36"/>
      <c r="X103" s="36"/>
      <c r="Y103" s="47"/>
      <c r="Z103" s="36">
        <f t="shared" si="364"/>
        <v>1777776</v>
      </c>
      <c r="AA103" s="36">
        <f aca="true" t="shared" si="377" ref="AA103:AA111">$D$102*$L$102</f>
        <v>250504.80000000002</v>
      </c>
      <c r="AB103" s="36">
        <f>$D$103*$L$103</f>
        <v>258585.6</v>
      </c>
      <c r="AC103" s="36"/>
      <c r="AD103" s="36"/>
      <c r="AE103" s="36"/>
      <c r="AF103" s="36"/>
      <c r="AG103" s="36"/>
      <c r="AH103" s="36"/>
      <c r="AI103" s="36"/>
      <c r="AJ103" s="36"/>
      <c r="AK103" s="36"/>
      <c r="AL103" s="47"/>
      <c r="AM103" s="36">
        <f t="shared" si="365"/>
        <v>22549472.400000002</v>
      </c>
      <c r="AN103" s="36">
        <f aca="true" t="shared" si="378" ref="AN103:AN111">$E$102*$L$102</f>
        <v>2866663.8000000003</v>
      </c>
      <c r="AO103" s="36">
        <f>$E$103*$L$103</f>
        <v>3016158.6</v>
      </c>
      <c r="AP103" s="36"/>
      <c r="AQ103" s="36"/>
      <c r="AR103" s="36"/>
      <c r="AS103" s="36"/>
      <c r="AT103" s="36"/>
      <c r="AU103" s="36"/>
      <c r="AV103" s="36"/>
      <c r="AW103" s="36"/>
      <c r="AX103" s="36"/>
      <c r="AY103" s="47"/>
      <c r="AZ103" s="36">
        <f t="shared" si="366"/>
        <v>7517164.2</v>
      </c>
      <c r="BA103" s="36">
        <f aca="true" t="shared" si="379" ref="BA103:BA111">$F$102*$L$102</f>
        <v>955554.6</v>
      </c>
      <c r="BB103" s="36">
        <f>$F$103*$L$103</f>
        <v>1006059.6</v>
      </c>
      <c r="BC103" s="36"/>
      <c r="BD103" s="36"/>
      <c r="BE103" s="36"/>
      <c r="BF103" s="36"/>
      <c r="BG103" s="36"/>
      <c r="BH103" s="36"/>
      <c r="BI103" s="36"/>
      <c r="BJ103" s="36"/>
      <c r="BK103" s="36"/>
      <c r="BL103" s="47"/>
      <c r="BM103" s="36"/>
      <c r="BN103" s="36"/>
      <c r="BO103" s="36"/>
      <c r="BP103" s="36"/>
      <c r="BQ103" s="36"/>
      <c r="BR103" s="36"/>
      <c r="BS103" s="36"/>
      <c r="BT103" s="36"/>
      <c r="BU103" s="36"/>
      <c r="BV103" s="36"/>
      <c r="BW103" s="36"/>
      <c r="BX103" s="36"/>
      <c r="BY103" s="47"/>
      <c r="BZ103" s="36"/>
      <c r="CA103" s="36"/>
      <c r="CB103" s="36"/>
      <c r="CC103" s="36"/>
      <c r="CD103" s="36"/>
      <c r="CE103" s="36"/>
      <c r="CF103" s="36"/>
      <c r="CG103" s="36"/>
      <c r="CH103" s="36"/>
      <c r="CI103" s="36"/>
      <c r="CJ103" s="36"/>
      <c r="CK103" s="36"/>
      <c r="CL103" s="47"/>
      <c r="CM103" s="36">
        <f t="shared" si="367"/>
        <v>1660604.4000000001</v>
      </c>
      <c r="CN103" s="36">
        <f aca="true" t="shared" si="380" ref="CN103:CN111">$I$102*$L$102</f>
        <v>212121</v>
      </c>
      <c r="CO103" s="36">
        <f>$I$103*$L$103</f>
        <v>222222</v>
      </c>
      <c r="CP103" s="36"/>
      <c r="CQ103" s="36"/>
      <c r="CR103" s="36"/>
      <c r="CS103" s="36"/>
      <c r="CT103" s="36"/>
      <c r="CU103" s="36"/>
      <c r="CV103" s="36"/>
      <c r="CW103" s="36"/>
      <c r="CX103" s="36"/>
      <c r="CY103" s="36"/>
      <c r="CZ103" s="36">
        <f t="shared" si="360"/>
        <v>47872679.400000006</v>
      </c>
      <c r="DA103" s="38">
        <f>CZ103*(1+$E$10)^-8</f>
        <v>32402113.78369988</v>
      </c>
      <c r="DB103" s="78">
        <f>$H$97</f>
        <v>519</v>
      </c>
      <c r="DC103" s="36">
        <f t="shared" si="368"/>
        <v>1102875</v>
      </c>
      <c r="DD103" s="36">
        <f aca="true" t="shared" si="381" ref="DD103:DD111">$C$102*$DB$102</f>
        <v>161409</v>
      </c>
      <c r="DE103" s="36">
        <f>$C$103*$DB$103</f>
        <v>169194</v>
      </c>
      <c r="DF103" s="36"/>
      <c r="DG103" s="36"/>
      <c r="DH103" s="36"/>
      <c r="DI103" s="36"/>
      <c r="DJ103" s="36"/>
      <c r="DK103" s="36"/>
      <c r="DL103" s="36"/>
      <c r="DM103" s="36"/>
      <c r="DN103" s="36"/>
      <c r="DO103" s="47"/>
      <c r="DP103" s="36">
        <f t="shared" si="369"/>
        <v>456720</v>
      </c>
      <c r="DQ103" s="36">
        <f aca="true" t="shared" si="382" ref="DQ103:DQ111">$D$102*$DB$102</f>
        <v>64356</v>
      </c>
      <c r="DR103" s="36">
        <f>$D$103*$DB$103</f>
        <v>66432</v>
      </c>
      <c r="DS103" s="36"/>
      <c r="DT103" s="36"/>
      <c r="DU103" s="36"/>
      <c r="DV103" s="36"/>
      <c r="DW103" s="36"/>
      <c r="DX103" s="36"/>
      <c r="DY103" s="36"/>
      <c r="DZ103" s="36"/>
      <c r="EA103" s="36"/>
      <c r="EB103" s="47"/>
      <c r="EC103" s="36">
        <f t="shared" si="370"/>
        <v>5793078</v>
      </c>
      <c r="ED103" s="36">
        <f aca="true" t="shared" si="383" ref="ED103:ED111">$E$102*$DB$102</f>
        <v>736461</v>
      </c>
      <c r="EE103" s="36">
        <f>$E$103*$DB$103</f>
        <v>774867</v>
      </c>
      <c r="EF103" s="36"/>
      <c r="EG103" s="36"/>
      <c r="EH103" s="36"/>
      <c r="EI103" s="36"/>
      <c r="EJ103" s="36"/>
      <c r="EK103" s="36"/>
      <c r="EL103" s="36"/>
      <c r="EM103" s="36"/>
      <c r="EN103" s="36"/>
      <c r="EO103" s="47"/>
      <c r="EP103" s="36">
        <f t="shared" si="371"/>
        <v>1931199</v>
      </c>
      <c r="EQ103" s="36">
        <f aca="true" t="shared" si="384" ref="EQ103:EQ111">$F$102*$DB$102</f>
        <v>245487</v>
      </c>
      <c r="ER103" s="36">
        <f>$F$103*$DB$103</f>
        <v>258462</v>
      </c>
      <c r="ES103" s="36"/>
      <c r="ET103" s="36"/>
      <c r="EU103" s="36"/>
      <c r="EV103" s="36"/>
      <c r="EW103" s="36"/>
      <c r="EX103" s="36"/>
      <c r="EY103" s="36"/>
      <c r="EZ103" s="36"/>
      <c r="FA103" s="36"/>
      <c r="FB103" s="47"/>
      <c r="FC103" s="36"/>
      <c r="FD103" s="36"/>
      <c r="FE103" s="36"/>
      <c r="FF103" s="36"/>
      <c r="FG103" s="36"/>
      <c r="FH103" s="36"/>
      <c r="FI103" s="36"/>
      <c r="FJ103" s="36"/>
      <c r="FK103" s="36"/>
      <c r="FL103" s="36"/>
      <c r="FM103" s="36"/>
      <c r="FN103" s="36"/>
      <c r="FO103" s="47"/>
      <c r="FP103" s="36"/>
      <c r="FQ103" s="36"/>
      <c r="FR103" s="36"/>
      <c r="FS103" s="36"/>
      <c r="FT103" s="36"/>
      <c r="FU103" s="36"/>
      <c r="FV103" s="36"/>
      <c r="FW103" s="36"/>
      <c r="FX103" s="36"/>
      <c r="FY103" s="36"/>
      <c r="FZ103" s="36"/>
      <c r="GA103" s="36"/>
      <c r="GB103" s="47"/>
      <c r="GC103" s="36">
        <f t="shared" si="372"/>
        <v>426618</v>
      </c>
      <c r="GD103" s="36">
        <f aca="true" t="shared" si="385" ref="GD103:GD111">$I$102*$DB$102</f>
        <v>54495</v>
      </c>
      <c r="GE103" s="36">
        <f>$I$103*$DB$103</f>
        <v>57090</v>
      </c>
      <c r="GF103" s="36"/>
      <c r="GG103" s="36"/>
      <c r="GH103" s="36"/>
      <c r="GI103" s="36"/>
      <c r="GJ103" s="36"/>
      <c r="GK103" s="36"/>
      <c r="GL103" s="36"/>
      <c r="GM103" s="36"/>
      <c r="GN103" s="36"/>
      <c r="GO103" s="47"/>
      <c r="GP103" s="36">
        <f>SUM(DC103:GO103)</f>
        <v>12298743</v>
      </c>
      <c r="GQ103" s="38">
        <f>GP103*(1+$E$11)^-8</f>
        <v>8324273.365874783</v>
      </c>
      <c r="GR103" s="38">
        <f t="shared" si="373"/>
        <v>60171422.400000006</v>
      </c>
      <c r="GS103" s="52">
        <f t="shared" si="361"/>
        <v>40726387.14957467</v>
      </c>
      <c r="GT103" s="9"/>
    </row>
    <row r="104" spans="1:202" ht="15.75">
      <c r="A104" s="9">
        <v>2004</v>
      </c>
      <c r="B104" s="49">
        <v>2011</v>
      </c>
      <c r="C104" s="31">
        <f aca="true" t="shared" si="386" ref="C104:K104">C28</f>
        <v>340</v>
      </c>
      <c r="D104" s="31">
        <f t="shared" si="386"/>
        <v>132</v>
      </c>
      <c r="E104" s="31">
        <f t="shared" si="386"/>
        <v>1571</v>
      </c>
      <c r="F104" s="31">
        <f t="shared" si="386"/>
        <v>524</v>
      </c>
      <c r="G104" s="31">
        <f t="shared" si="386"/>
        <v>189</v>
      </c>
      <c r="H104" s="31">
        <f t="shared" si="386"/>
        <v>63</v>
      </c>
      <c r="I104" s="31">
        <f t="shared" si="386"/>
        <v>116</v>
      </c>
      <c r="J104" s="84">
        <f t="shared" si="386"/>
        <v>2463</v>
      </c>
      <c r="K104" s="86">
        <f t="shared" si="386"/>
        <v>2935</v>
      </c>
      <c r="L104" s="36">
        <f t="shared" si="375"/>
        <v>2020.2</v>
      </c>
      <c r="M104" s="36">
        <f t="shared" si="363"/>
        <v>4292925</v>
      </c>
      <c r="N104" s="36">
        <f t="shared" si="376"/>
        <v>628282.2000000001</v>
      </c>
      <c r="O104" s="36">
        <f aca="true" t="shared" si="387" ref="O104:O112">$C$103*$L$103</f>
        <v>658585.2000000001</v>
      </c>
      <c r="P104" s="36">
        <f>$C$104*$L$104</f>
        <v>686868</v>
      </c>
      <c r="Q104" s="36"/>
      <c r="R104" s="36"/>
      <c r="S104" s="36"/>
      <c r="T104" s="36"/>
      <c r="U104" s="36"/>
      <c r="V104" s="36"/>
      <c r="W104" s="36"/>
      <c r="X104" s="36"/>
      <c r="Y104" s="47"/>
      <c r="Z104" s="36">
        <f t="shared" si="364"/>
        <v>1777776</v>
      </c>
      <c r="AA104" s="36">
        <f t="shared" si="377"/>
        <v>250504.80000000002</v>
      </c>
      <c r="AB104" s="36">
        <f aca="true" t="shared" si="388" ref="AB104:AB112">$D$103*$L$103</f>
        <v>258585.6</v>
      </c>
      <c r="AC104" s="36">
        <f>$D$104*$L$104</f>
        <v>266666.4</v>
      </c>
      <c r="AD104" s="36"/>
      <c r="AE104" s="36"/>
      <c r="AF104" s="36"/>
      <c r="AG104" s="36"/>
      <c r="AH104" s="36"/>
      <c r="AI104" s="36"/>
      <c r="AJ104" s="36"/>
      <c r="AK104" s="36"/>
      <c r="AL104" s="47"/>
      <c r="AM104" s="36">
        <f t="shared" si="365"/>
        <v>22549472.400000002</v>
      </c>
      <c r="AN104" s="36">
        <f t="shared" si="378"/>
        <v>2866663.8000000003</v>
      </c>
      <c r="AO104" s="36">
        <f aca="true" t="shared" si="389" ref="AO104:AO112">$E$103*$L$103</f>
        <v>3016158.6</v>
      </c>
      <c r="AP104" s="36">
        <f>$E$104*$L$104</f>
        <v>3173734.2</v>
      </c>
      <c r="AQ104" s="36"/>
      <c r="AR104" s="36"/>
      <c r="AS104" s="36"/>
      <c r="AT104" s="36"/>
      <c r="AU104" s="36"/>
      <c r="AV104" s="36"/>
      <c r="AW104" s="36"/>
      <c r="AX104" s="36"/>
      <c r="AY104" s="47"/>
      <c r="AZ104" s="36">
        <f t="shared" si="366"/>
        <v>7517164.2</v>
      </c>
      <c r="BA104" s="36">
        <f t="shared" si="379"/>
        <v>955554.6</v>
      </c>
      <c r="BB104" s="36">
        <f aca="true" t="shared" si="390" ref="BB104:BB112">$F$103*$L$103</f>
        <v>1006059.6</v>
      </c>
      <c r="BC104" s="36">
        <f>$F$104*$L$104</f>
        <v>1058584.8</v>
      </c>
      <c r="BD104" s="36"/>
      <c r="BE104" s="36"/>
      <c r="BF104" s="36"/>
      <c r="BG104" s="36"/>
      <c r="BH104" s="36"/>
      <c r="BI104" s="36"/>
      <c r="BJ104" s="36"/>
      <c r="BK104" s="36"/>
      <c r="BL104" s="47"/>
      <c r="BM104" s="36"/>
      <c r="BN104" s="36"/>
      <c r="BO104" s="36"/>
      <c r="BP104" s="36"/>
      <c r="BQ104" s="36"/>
      <c r="BR104" s="36"/>
      <c r="BS104" s="36"/>
      <c r="BT104" s="36"/>
      <c r="BU104" s="36"/>
      <c r="BV104" s="36"/>
      <c r="BW104" s="36"/>
      <c r="BX104" s="36"/>
      <c r="BY104" s="47"/>
      <c r="BZ104" s="36"/>
      <c r="CA104" s="36"/>
      <c r="CB104" s="36"/>
      <c r="CC104" s="36"/>
      <c r="CD104" s="36"/>
      <c r="CE104" s="36"/>
      <c r="CF104" s="36"/>
      <c r="CG104" s="36"/>
      <c r="CH104" s="36"/>
      <c r="CI104" s="36"/>
      <c r="CJ104" s="36"/>
      <c r="CK104" s="36"/>
      <c r="CL104" s="47"/>
      <c r="CM104" s="36">
        <f t="shared" si="367"/>
        <v>1660604.4000000001</v>
      </c>
      <c r="CN104" s="36">
        <f t="shared" si="380"/>
        <v>212121</v>
      </c>
      <c r="CO104" s="36">
        <f aca="true" t="shared" si="391" ref="CO104:CO112">$I$103*$L$103</f>
        <v>222222</v>
      </c>
      <c r="CP104" s="36">
        <f>$I$104*$L$104</f>
        <v>234343.2</v>
      </c>
      <c r="CQ104" s="36"/>
      <c r="CR104" s="36"/>
      <c r="CS104" s="36"/>
      <c r="CT104" s="36"/>
      <c r="CU104" s="36"/>
      <c r="CV104" s="36"/>
      <c r="CW104" s="36"/>
      <c r="CX104" s="36"/>
      <c r="CY104" s="36"/>
      <c r="CZ104" s="36">
        <f t="shared" si="360"/>
        <v>53292876.00000001</v>
      </c>
      <c r="DA104" s="38">
        <f>CZ104*(1+$E$10)^-9</f>
        <v>34353063.040489465</v>
      </c>
      <c r="DB104" s="78">
        <f aca="true" t="shared" si="392" ref="DB104:DB113">$H$97</f>
        <v>519</v>
      </c>
      <c r="DC104" s="36">
        <f t="shared" si="368"/>
        <v>1102875</v>
      </c>
      <c r="DD104" s="36">
        <f t="shared" si="381"/>
        <v>161409</v>
      </c>
      <c r="DE104" s="36">
        <f aca="true" t="shared" si="393" ref="DE104:DE112">$C$103*$DB$103</f>
        <v>169194</v>
      </c>
      <c r="DF104" s="36">
        <f>$C$104*$DB$104</f>
        <v>176460</v>
      </c>
      <c r="DG104" s="36"/>
      <c r="DH104" s="36"/>
      <c r="DI104" s="36"/>
      <c r="DJ104" s="36"/>
      <c r="DK104" s="36"/>
      <c r="DL104" s="36"/>
      <c r="DM104" s="36"/>
      <c r="DN104" s="36"/>
      <c r="DO104" s="47"/>
      <c r="DP104" s="36">
        <f t="shared" si="369"/>
        <v>456720</v>
      </c>
      <c r="DQ104" s="36">
        <f t="shared" si="382"/>
        <v>64356</v>
      </c>
      <c r="DR104" s="36">
        <f aca="true" t="shared" si="394" ref="DR104:DR112">$D$103*$DB$103</f>
        <v>66432</v>
      </c>
      <c r="DS104" s="36">
        <f>$D$104*$DB$104</f>
        <v>68508</v>
      </c>
      <c r="DT104" s="36"/>
      <c r="DU104" s="36"/>
      <c r="DV104" s="36"/>
      <c r="DW104" s="36"/>
      <c r="DX104" s="36"/>
      <c r="DY104" s="36"/>
      <c r="DZ104" s="36"/>
      <c r="EA104" s="36"/>
      <c r="EB104" s="47"/>
      <c r="EC104" s="36">
        <f t="shared" si="370"/>
        <v>5793078</v>
      </c>
      <c r="ED104" s="36">
        <f t="shared" si="383"/>
        <v>736461</v>
      </c>
      <c r="EE104" s="36">
        <f aca="true" t="shared" si="395" ref="EE104:EE112">$E$103*$DB$103</f>
        <v>774867</v>
      </c>
      <c r="EF104" s="36">
        <f>$E$104*$DB$104</f>
        <v>815349</v>
      </c>
      <c r="EG104" s="36"/>
      <c r="EH104" s="36"/>
      <c r="EI104" s="36"/>
      <c r="EJ104" s="36"/>
      <c r="EK104" s="36"/>
      <c r="EL104" s="36"/>
      <c r="EM104" s="36"/>
      <c r="EN104" s="36"/>
      <c r="EO104" s="47"/>
      <c r="EP104" s="36">
        <f t="shared" si="371"/>
        <v>1931199</v>
      </c>
      <c r="EQ104" s="36">
        <f t="shared" si="384"/>
        <v>245487</v>
      </c>
      <c r="ER104" s="36">
        <f aca="true" t="shared" si="396" ref="ER104:ER112">$F$103*$DB$103</f>
        <v>258462</v>
      </c>
      <c r="ES104" s="36">
        <f>$F$104*$DB$104</f>
        <v>271956</v>
      </c>
      <c r="ET104" s="36"/>
      <c r="EU104" s="36"/>
      <c r="EV104" s="36"/>
      <c r="EW104" s="36"/>
      <c r="EX104" s="36"/>
      <c r="EY104" s="36"/>
      <c r="EZ104" s="36"/>
      <c r="FA104" s="36"/>
      <c r="FB104" s="47"/>
      <c r="FC104" s="36"/>
      <c r="FD104" s="36"/>
      <c r="FE104" s="36"/>
      <c r="FF104" s="36"/>
      <c r="FG104" s="36"/>
      <c r="FH104" s="36"/>
      <c r="FI104" s="36"/>
      <c r="FJ104" s="36"/>
      <c r="FK104" s="36"/>
      <c r="FL104" s="36"/>
      <c r="FM104" s="36"/>
      <c r="FN104" s="36"/>
      <c r="FO104" s="47"/>
      <c r="FP104" s="36"/>
      <c r="FQ104" s="36"/>
      <c r="FR104" s="36"/>
      <c r="FS104" s="36"/>
      <c r="FT104" s="36"/>
      <c r="FU104" s="36"/>
      <c r="FV104" s="36"/>
      <c r="FW104" s="36"/>
      <c r="FX104" s="36"/>
      <c r="FY104" s="36"/>
      <c r="FZ104" s="36"/>
      <c r="GA104" s="36"/>
      <c r="GB104" s="47"/>
      <c r="GC104" s="36">
        <f t="shared" si="372"/>
        <v>426618</v>
      </c>
      <c r="GD104" s="36">
        <f t="shared" si="385"/>
        <v>54495</v>
      </c>
      <c r="GE104" s="36">
        <f aca="true" t="shared" si="397" ref="GE104:GE112">$I$103*$DB$103</f>
        <v>57090</v>
      </c>
      <c r="GF104" s="36">
        <f>$I$104*$DB$104</f>
        <v>60204</v>
      </c>
      <c r="GG104" s="36"/>
      <c r="GH104" s="36"/>
      <c r="GI104" s="36"/>
      <c r="GJ104" s="36"/>
      <c r="GK104" s="36"/>
      <c r="GL104" s="36"/>
      <c r="GM104" s="36"/>
      <c r="GN104" s="36"/>
      <c r="GO104" s="47"/>
      <c r="GP104" s="36">
        <f>SUM(DC104:GO104)</f>
        <v>13691220</v>
      </c>
      <c r="GQ104" s="38">
        <f>GP104*(1+$E$11)^-9</f>
        <v>8825482.48589943</v>
      </c>
      <c r="GR104" s="38">
        <f t="shared" si="373"/>
        <v>66984096.00000001</v>
      </c>
      <c r="GS104" s="52">
        <f t="shared" si="361"/>
        <v>43178545.5263889</v>
      </c>
      <c r="GT104" s="9"/>
    </row>
    <row r="105" spans="1:202" ht="15.75">
      <c r="A105" s="9">
        <v>2005</v>
      </c>
      <c r="B105" s="49">
        <v>2012</v>
      </c>
      <c r="C105" s="31">
        <f aca="true" t="shared" si="398" ref="C105:K105">C29</f>
        <v>356</v>
      </c>
      <c r="D105" s="31">
        <f t="shared" si="398"/>
        <v>136</v>
      </c>
      <c r="E105" s="31">
        <f t="shared" si="398"/>
        <v>1652</v>
      </c>
      <c r="F105" s="31">
        <f t="shared" si="398"/>
        <v>551</v>
      </c>
      <c r="G105" s="31">
        <f t="shared" si="398"/>
        <v>209</v>
      </c>
      <c r="H105" s="31">
        <f t="shared" si="398"/>
        <v>70</v>
      </c>
      <c r="I105" s="31">
        <f t="shared" si="398"/>
        <v>122</v>
      </c>
      <c r="J105" s="84">
        <f t="shared" si="398"/>
        <v>2604</v>
      </c>
      <c r="K105" s="86">
        <f t="shared" si="398"/>
        <v>3096</v>
      </c>
      <c r="L105" s="36">
        <f t="shared" si="375"/>
        <v>2020.2</v>
      </c>
      <c r="M105" s="36">
        <f t="shared" si="363"/>
        <v>4292925</v>
      </c>
      <c r="N105" s="36">
        <f t="shared" si="376"/>
        <v>628282.2000000001</v>
      </c>
      <c r="O105" s="36">
        <f t="shared" si="387"/>
        <v>658585.2000000001</v>
      </c>
      <c r="P105" s="36">
        <f aca="true" t="shared" si="399" ref="P105:P113">$C$104*$L$104</f>
        <v>686868</v>
      </c>
      <c r="Q105" s="36">
        <f>$C$105*$L$105</f>
        <v>719191.2000000001</v>
      </c>
      <c r="R105" s="36"/>
      <c r="S105" s="36"/>
      <c r="T105" s="36"/>
      <c r="U105" s="36"/>
      <c r="V105" s="36"/>
      <c r="W105" s="36"/>
      <c r="X105" s="36"/>
      <c r="Y105" s="47"/>
      <c r="Z105" s="36">
        <f t="shared" si="364"/>
        <v>1777776</v>
      </c>
      <c r="AA105" s="36">
        <f t="shared" si="377"/>
        <v>250504.80000000002</v>
      </c>
      <c r="AB105" s="36">
        <f t="shared" si="388"/>
        <v>258585.6</v>
      </c>
      <c r="AC105" s="36">
        <f aca="true" t="shared" si="400" ref="AC105:AC113">$D$104*$L$104</f>
        <v>266666.4</v>
      </c>
      <c r="AD105" s="36">
        <f>$D$105*$L$105</f>
        <v>274747.2</v>
      </c>
      <c r="AE105" s="36"/>
      <c r="AF105" s="36"/>
      <c r="AG105" s="36"/>
      <c r="AH105" s="36"/>
      <c r="AI105" s="36"/>
      <c r="AJ105" s="36"/>
      <c r="AK105" s="36"/>
      <c r="AL105" s="47"/>
      <c r="AM105" s="36">
        <f t="shared" si="365"/>
        <v>22549472.400000002</v>
      </c>
      <c r="AN105" s="36">
        <f t="shared" si="378"/>
        <v>2866663.8000000003</v>
      </c>
      <c r="AO105" s="36">
        <f t="shared" si="389"/>
        <v>3016158.6</v>
      </c>
      <c r="AP105" s="36">
        <f aca="true" t="shared" si="401" ref="AP105:AP113">$E$104*$L$104</f>
        <v>3173734.2</v>
      </c>
      <c r="AQ105" s="36">
        <f>$E$105*$L$105</f>
        <v>3337370.4</v>
      </c>
      <c r="AR105" s="36"/>
      <c r="AS105" s="36"/>
      <c r="AT105" s="36"/>
      <c r="AU105" s="36"/>
      <c r="AV105" s="36"/>
      <c r="AW105" s="36"/>
      <c r="AX105" s="36"/>
      <c r="AY105" s="47"/>
      <c r="AZ105" s="36">
        <f t="shared" si="366"/>
        <v>7517164.2</v>
      </c>
      <c r="BA105" s="36">
        <f t="shared" si="379"/>
        <v>955554.6</v>
      </c>
      <c r="BB105" s="36">
        <f t="shared" si="390"/>
        <v>1006059.6</v>
      </c>
      <c r="BC105" s="36">
        <f aca="true" t="shared" si="402" ref="BC105:BC113">$F$104*$L$104</f>
        <v>1058584.8</v>
      </c>
      <c r="BD105" s="36">
        <f>$F$105*$L$105</f>
        <v>1113130.2</v>
      </c>
      <c r="BE105" s="36"/>
      <c r="BF105" s="36"/>
      <c r="BG105" s="36"/>
      <c r="BH105" s="36"/>
      <c r="BI105" s="36"/>
      <c r="BJ105" s="36"/>
      <c r="BK105" s="36"/>
      <c r="BL105" s="47"/>
      <c r="BM105" s="36"/>
      <c r="BN105" s="36"/>
      <c r="BO105" s="36"/>
      <c r="BP105" s="36"/>
      <c r="BQ105" s="36"/>
      <c r="BR105" s="36"/>
      <c r="BS105" s="36"/>
      <c r="BT105" s="36"/>
      <c r="BU105" s="36"/>
      <c r="BV105" s="36"/>
      <c r="BW105" s="36"/>
      <c r="BX105" s="36"/>
      <c r="BY105" s="47"/>
      <c r="BZ105" s="36"/>
      <c r="CA105" s="36"/>
      <c r="CB105" s="36"/>
      <c r="CC105" s="36"/>
      <c r="CD105" s="36"/>
      <c r="CE105" s="36"/>
      <c r="CF105" s="36"/>
      <c r="CG105" s="36"/>
      <c r="CH105" s="36"/>
      <c r="CI105" s="36"/>
      <c r="CJ105" s="36"/>
      <c r="CK105" s="36"/>
      <c r="CL105" s="47"/>
      <c r="CM105" s="36">
        <f t="shared" si="367"/>
        <v>1660604.4000000001</v>
      </c>
      <c r="CN105" s="36">
        <f t="shared" si="380"/>
        <v>212121</v>
      </c>
      <c r="CO105" s="36">
        <f t="shared" si="391"/>
        <v>222222</v>
      </c>
      <c r="CP105" s="36">
        <f aca="true" t="shared" si="403" ref="CP105:CP113">$I$104*$L$104</f>
        <v>234343.2</v>
      </c>
      <c r="CQ105" s="36">
        <f>$I$105*$L$105</f>
        <v>246464.4</v>
      </c>
      <c r="CR105" s="36"/>
      <c r="CS105" s="36"/>
      <c r="CT105" s="36"/>
      <c r="CU105" s="36"/>
      <c r="CV105" s="36"/>
      <c r="CW105" s="36"/>
      <c r="CX105" s="36"/>
      <c r="CY105" s="36"/>
      <c r="CZ105" s="36">
        <f t="shared" si="360"/>
        <v>58983779.40000001</v>
      </c>
      <c r="DA105" s="38">
        <f>CZ105*(1+$E$10)^-10</f>
        <v>36210923.91758443</v>
      </c>
      <c r="DB105" s="78">
        <f t="shared" si="392"/>
        <v>519</v>
      </c>
      <c r="DC105" s="36">
        <f t="shared" si="368"/>
        <v>1102875</v>
      </c>
      <c r="DD105" s="36">
        <f t="shared" si="381"/>
        <v>161409</v>
      </c>
      <c r="DE105" s="36">
        <f t="shared" si="393"/>
        <v>169194</v>
      </c>
      <c r="DF105" s="36">
        <f aca="true" t="shared" si="404" ref="DF105:DF113">$C$104*$DB$104</f>
        <v>176460</v>
      </c>
      <c r="DG105" s="36">
        <f>$C$105*$DB$105</f>
        <v>184764</v>
      </c>
      <c r="DH105" s="36"/>
      <c r="DI105" s="36"/>
      <c r="DJ105" s="36"/>
      <c r="DK105" s="36"/>
      <c r="DL105" s="36"/>
      <c r="DM105" s="36"/>
      <c r="DN105" s="36"/>
      <c r="DO105" s="47"/>
      <c r="DP105" s="36">
        <f t="shared" si="369"/>
        <v>456720</v>
      </c>
      <c r="DQ105" s="36">
        <f t="shared" si="382"/>
        <v>64356</v>
      </c>
      <c r="DR105" s="36">
        <f t="shared" si="394"/>
        <v>66432</v>
      </c>
      <c r="DS105" s="36">
        <f aca="true" t="shared" si="405" ref="DS105:DS113">$D$104*$DB$104</f>
        <v>68508</v>
      </c>
      <c r="DT105" s="36">
        <f>$D$105*$DB$105</f>
        <v>70584</v>
      </c>
      <c r="DU105" s="36"/>
      <c r="DV105" s="36"/>
      <c r="DW105" s="36"/>
      <c r="DX105" s="36"/>
      <c r="DY105" s="36"/>
      <c r="DZ105" s="36"/>
      <c r="EA105" s="36"/>
      <c r="EB105" s="47"/>
      <c r="EC105" s="36">
        <f t="shared" si="370"/>
        <v>5793078</v>
      </c>
      <c r="ED105" s="36">
        <f t="shared" si="383"/>
        <v>736461</v>
      </c>
      <c r="EE105" s="36">
        <f t="shared" si="395"/>
        <v>774867</v>
      </c>
      <c r="EF105" s="36">
        <f aca="true" t="shared" si="406" ref="EF105:EF113">$E$104*$DB$104</f>
        <v>815349</v>
      </c>
      <c r="EG105" s="36">
        <f>$E$105*$DB$105</f>
        <v>857388</v>
      </c>
      <c r="EH105" s="36"/>
      <c r="EI105" s="36"/>
      <c r="EJ105" s="36"/>
      <c r="EK105" s="36"/>
      <c r="EL105" s="36"/>
      <c r="EM105" s="36"/>
      <c r="EN105" s="36"/>
      <c r="EO105" s="47"/>
      <c r="EP105" s="36">
        <f t="shared" si="371"/>
        <v>1931199</v>
      </c>
      <c r="EQ105" s="36">
        <f t="shared" si="384"/>
        <v>245487</v>
      </c>
      <c r="ER105" s="36">
        <f t="shared" si="396"/>
        <v>258462</v>
      </c>
      <c r="ES105" s="36">
        <f aca="true" t="shared" si="407" ref="ES105:ES113">$F$104*$DB$104</f>
        <v>271956</v>
      </c>
      <c r="ET105" s="36">
        <f>$F$105*$DB$105</f>
        <v>285969</v>
      </c>
      <c r="EU105" s="36"/>
      <c r="EV105" s="36"/>
      <c r="EW105" s="36"/>
      <c r="EX105" s="36"/>
      <c r="EY105" s="36"/>
      <c r="EZ105" s="36"/>
      <c r="FA105" s="36"/>
      <c r="FB105" s="47"/>
      <c r="FC105" s="36"/>
      <c r="FD105" s="36"/>
      <c r="FE105" s="36"/>
      <c r="FF105" s="36"/>
      <c r="FG105" s="36"/>
      <c r="FH105" s="36"/>
      <c r="FI105" s="36"/>
      <c r="FJ105" s="36"/>
      <c r="FK105" s="36"/>
      <c r="FL105" s="36"/>
      <c r="FM105" s="36"/>
      <c r="FN105" s="36"/>
      <c r="FO105" s="47"/>
      <c r="FP105" s="36"/>
      <c r="FQ105" s="36"/>
      <c r="FR105" s="36"/>
      <c r="FS105" s="36"/>
      <c r="FT105" s="36"/>
      <c r="FU105" s="36"/>
      <c r="FV105" s="36"/>
      <c r="FW105" s="36"/>
      <c r="FX105" s="36"/>
      <c r="FY105" s="36"/>
      <c r="FZ105" s="36"/>
      <c r="GA105" s="36"/>
      <c r="GB105" s="47"/>
      <c r="GC105" s="36">
        <f t="shared" si="372"/>
        <v>426618</v>
      </c>
      <c r="GD105" s="36">
        <f t="shared" si="385"/>
        <v>54495</v>
      </c>
      <c r="GE105" s="36">
        <f t="shared" si="397"/>
        <v>57090</v>
      </c>
      <c r="GF105" s="36">
        <f aca="true" t="shared" si="408" ref="GF105:GF113">$I$104*$DB$104</f>
        <v>60204</v>
      </c>
      <c r="GG105" s="36">
        <f>$I$105*$DB$105</f>
        <v>63318</v>
      </c>
      <c r="GH105" s="36"/>
      <c r="GI105" s="36"/>
      <c r="GJ105" s="36"/>
      <c r="GK105" s="36"/>
      <c r="GL105" s="36"/>
      <c r="GM105" s="36"/>
      <c r="GN105" s="36"/>
      <c r="GO105" s="47"/>
      <c r="GP105" s="36">
        <f>SUM(DC105:GO105)</f>
        <v>15153243</v>
      </c>
      <c r="GQ105" s="38">
        <f>GP105*(1+$E$11)^-10</f>
        <v>9302776.711823737</v>
      </c>
      <c r="GR105" s="38">
        <f t="shared" si="373"/>
        <v>74137022.4</v>
      </c>
      <c r="GS105" s="52">
        <f t="shared" si="361"/>
        <v>45513700.629408166</v>
      </c>
      <c r="GT105" s="9"/>
    </row>
    <row r="106" spans="1:202" ht="15.75">
      <c r="A106" s="9">
        <v>2006</v>
      </c>
      <c r="B106" s="49">
        <v>2013</v>
      </c>
      <c r="C106" s="31">
        <f aca="true" t="shared" si="409" ref="C106:K106">C30</f>
        <v>372</v>
      </c>
      <c r="D106" s="31">
        <f t="shared" si="409"/>
        <v>140</v>
      </c>
      <c r="E106" s="31">
        <f t="shared" si="409"/>
        <v>1738</v>
      </c>
      <c r="F106" s="31">
        <f t="shared" si="409"/>
        <v>579</v>
      </c>
      <c r="G106" s="31">
        <f t="shared" si="409"/>
        <v>230</v>
      </c>
      <c r="H106" s="31">
        <f t="shared" si="409"/>
        <v>77</v>
      </c>
      <c r="I106" s="31">
        <f t="shared" si="409"/>
        <v>128</v>
      </c>
      <c r="J106" s="84">
        <f t="shared" si="409"/>
        <v>2752</v>
      </c>
      <c r="K106" s="86">
        <f t="shared" si="409"/>
        <v>3264</v>
      </c>
      <c r="L106" s="36">
        <f t="shared" si="375"/>
        <v>2020.2</v>
      </c>
      <c r="M106" s="36">
        <f t="shared" si="363"/>
        <v>4292925</v>
      </c>
      <c r="N106" s="36">
        <f t="shared" si="376"/>
        <v>628282.2000000001</v>
      </c>
      <c r="O106" s="36">
        <f t="shared" si="387"/>
        <v>658585.2000000001</v>
      </c>
      <c r="P106" s="36">
        <f t="shared" si="399"/>
        <v>686868</v>
      </c>
      <c r="Q106" s="36">
        <f aca="true" t="shared" si="410" ref="Q106:Q114">$C$105*$L$105</f>
        <v>719191.2000000001</v>
      </c>
      <c r="R106" s="36">
        <f>$C$106*$L$106</f>
        <v>751514.4</v>
      </c>
      <c r="S106" s="36"/>
      <c r="T106" s="36"/>
      <c r="U106" s="36"/>
      <c r="V106" s="36"/>
      <c r="W106" s="36"/>
      <c r="X106" s="36"/>
      <c r="Y106" s="47"/>
      <c r="Z106" s="36">
        <f t="shared" si="364"/>
        <v>1777776</v>
      </c>
      <c r="AA106" s="36">
        <f t="shared" si="377"/>
        <v>250504.80000000002</v>
      </c>
      <c r="AB106" s="36">
        <f t="shared" si="388"/>
        <v>258585.6</v>
      </c>
      <c r="AC106" s="36">
        <f t="shared" si="400"/>
        <v>266666.4</v>
      </c>
      <c r="AD106" s="36">
        <f aca="true" t="shared" si="411" ref="AD106:AD114">$D$105*$L$105</f>
        <v>274747.2</v>
      </c>
      <c r="AE106" s="36">
        <f>$D$106*$L$106</f>
        <v>282828</v>
      </c>
      <c r="AF106" s="36"/>
      <c r="AG106" s="36"/>
      <c r="AH106" s="36"/>
      <c r="AI106" s="36"/>
      <c r="AJ106" s="36"/>
      <c r="AK106" s="36"/>
      <c r="AL106" s="47"/>
      <c r="AM106" s="36">
        <f t="shared" si="365"/>
        <v>22549472.400000002</v>
      </c>
      <c r="AN106" s="36">
        <f t="shared" si="378"/>
        <v>2866663.8000000003</v>
      </c>
      <c r="AO106" s="36">
        <f t="shared" si="389"/>
        <v>3016158.6</v>
      </c>
      <c r="AP106" s="36">
        <f t="shared" si="401"/>
        <v>3173734.2</v>
      </c>
      <c r="AQ106" s="36">
        <f aca="true" t="shared" si="412" ref="AQ106:AQ114">$E$105*$L$105</f>
        <v>3337370.4</v>
      </c>
      <c r="AR106" s="36">
        <f>$E$106*$L$106</f>
        <v>3511107.6</v>
      </c>
      <c r="AS106" s="36"/>
      <c r="AT106" s="36"/>
      <c r="AU106" s="36"/>
      <c r="AV106" s="36"/>
      <c r="AW106" s="36"/>
      <c r="AX106" s="36"/>
      <c r="AY106" s="47"/>
      <c r="AZ106" s="36">
        <f t="shared" si="366"/>
        <v>7517164.2</v>
      </c>
      <c r="BA106" s="36">
        <f t="shared" si="379"/>
        <v>955554.6</v>
      </c>
      <c r="BB106" s="36">
        <f t="shared" si="390"/>
        <v>1006059.6</v>
      </c>
      <c r="BC106" s="36">
        <f t="shared" si="402"/>
        <v>1058584.8</v>
      </c>
      <c r="BD106" s="36">
        <f aca="true" t="shared" si="413" ref="BD106:BD114">$F$105*$L$105</f>
        <v>1113130.2</v>
      </c>
      <c r="BE106" s="36">
        <f>$F$106*$L$106</f>
        <v>1169695.8</v>
      </c>
      <c r="BF106" s="36"/>
      <c r="BG106" s="36"/>
      <c r="BH106" s="36"/>
      <c r="BI106" s="36"/>
      <c r="BJ106" s="36"/>
      <c r="BK106" s="36"/>
      <c r="BL106" s="47"/>
      <c r="BM106" s="36"/>
      <c r="BN106" s="36"/>
      <c r="BO106" s="36"/>
      <c r="BP106" s="36"/>
      <c r="BQ106" s="36"/>
      <c r="BR106" s="36"/>
      <c r="BS106" s="36"/>
      <c r="BT106" s="36"/>
      <c r="BU106" s="36"/>
      <c r="BV106" s="36"/>
      <c r="BW106" s="36"/>
      <c r="BX106" s="36"/>
      <c r="BY106" s="47"/>
      <c r="BZ106" s="36"/>
      <c r="CA106" s="36"/>
      <c r="CB106" s="36"/>
      <c r="CC106" s="36"/>
      <c r="CD106" s="36"/>
      <c r="CE106" s="36"/>
      <c r="CF106" s="36"/>
      <c r="CG106" s="36"/>
      <c r="CH106" s="36"/>
      <c r="CI106" s="36"/>
      <c r="CJ106" s="36"/>
      <c r="CK106" s="36"/>
      <c r="CL106" s="47"/>
      <c r="CM106" s="36">
        <f t="shared" si="367"/>
        <v>1660604.4000000001</v>
      </c>
      <c r="CN106" s="36">
        <f t="shared" si="380"/>
        <v>212121</v>
      </c>
      <c r="CO106" s="36">
        <f t="shared" si="391"/>
        <v>222222</v>
      </c>
      <c r="CP106" s="36">
        <f t="shared" si="403"/>
        <v>234343.2</v>
      </c>
      <c r="CQ106" s="36">
        <f aca="true" t="shared" si="414" ref="CQ106:CQ114">$I$105*$L$105</f>
        <v>246464.4</v>
      </c>
      <c r="CR106" s="36">
        <f>$I$106*$L$106</f>
        <v>258585.6</v>
      </c>
      <c r="CS106" s="36"/>
      <c r="CT106" s="36"/>
      <c r="CU106" s="36"/>
      <c r="CV106" s="36"/>
      <c r="CW106" s="36"/>
      <c r="CX106" s="36"/>
      <c r="CY106" s="36"/>
      <c r="CZ106" s="36">
        <f t="shared" si="360"/>
        <v>64957510.80000001</v>
      </c>
      <c r="DA106" s="38">
        <f>CZ106*(1+$E$10)^-11</f>
        <v>37979311.23536859</v>
      </c>
      <c r="DB106" s="78">
        <f t="shared" si="392"/>
        <v>519</v>
      </c>
      <c r="DC106" s="36">
        <f t="shared" si="368"/>
        <v>1102875</v>
      </c>
      <c r="DD106" s="36">
        <f t="shared" si="381"/>
        <v>161409</v>
      </c>
      <c r="DE106" s="36">
        <f t="shared" si="393"/>
        <v>169194</v>
      </c>
      <c r="DF106" s="36">
        <f t="shared" si="404"/>
        <v>176460</v>
      </c>
      <c r="DG106" s="36">
        <f aca="true" t="shared" si="415" ref="DG106:DG114">$C$105*$DB$105</f>
        <v>184764</v>
      </c>
      <c r="DH106" s="36">
        <f>$C$106*$DB$106</f>
        <v>193068</v>
      </c>
      <c r="DI106" s="36"/>
      <c r="DJ106" s="36"/>
      <c r="DK106" s="36"/>
      <c r="DL106" s="36"/>
      <c r="DM106" s="36"/>
      <c r="DN106" s="36"/>
      <c r="DO106" s="47"/>
      <c r="DP106" s="36">
        <f t="shared" si="369"/>
        <v>456720</v>
      </c>
      <c r="DQ106" s="36">
        <f t="shared" si="382"/>
        <v>64356</v>
      </c>
      <c r="DR106" s="36">
        <f t="shared" si="394"/>
        <v>66432</v>
      </c>
      <c r="DS106" s="36">
        <f t="shared" si="405"/>
        <v>68508</v>
      </c>
      <c r="DT106" s="36">
        <f aca="true" t="shared" si="416" ref="DT106:DT114">$D$105*$DB$105</f>
        <v>70584</v>
      </c>
      <c r="DU106" s="36">
        <f>$D$106*$DB$106</f>
        <v>72660</v>
      </c>
      <c r="DV106" s="36"/>
      <c r="DW106" s="36"/>
      <c r="DX106" s="36"/>
      <c r="DY106" s="36"/>
      <c r="DZ106" s="36"/>
      <c r="EA106" s="36"/>
      <c r="EB106" s="47"/>
      <c r="EC106" s="36">
        <f t="shared" si="370"/>
        <v>5793078</v>
      </c>
      <c r="ED106" s="36">
        <f t="shared" si="383"/>
        <v>736461</v>
      </c>
      <c r="EE106" s="36">
        <f t="shared" si="395"/>
        <v>774867</v>
      </c>
      <c r="EF106" s="36">
        <f t="shared" si="406"/>
        <v>815349</v>
      </c>
      <c r="EG106" s="36">
        <f aca="true" t="shared" si="417" ref="EG106:EG114">$E$105*$DB$105</f>
        <v>857388</v>
      </c>
      <c r="EH106" s="36">
        <f>$E$106*$DB$106</f>
        <v>902022</v>
      </c>
      <c r="EI106" s="36"/>
      <c r="EJ106" s="36"/>
      <c r="EK106" s="36"/>
      <c r="EL106" s="36"/>
      <c r="EM106" s="36"/>
      <c r="EN106" s="36"/>
      <c r="EO106" s="47"/>
      <c r="EP106" s="36">
        <f t="shared" si="371"/>
        <v>1931199</v>
      </c>
      <c r="EQ106" s="36">
        <f t="shared" si="384"/>
        <v>245487</v>
      </c>
      <c r="ER106" s="36">
        <f t="shared" si="396"/>
        <v>258462</v>
      </c>
      <c r="ES106" s="36">
        <f t="shared" si="407"/>
        <v>271956</v>
      </c>
      <c r="ET106" s="36">
        <f aca="true" t="shared" si="418" ref="ET106:ET114">$F$105*$DB$105</f>
        <v>285969</v>
      </c>
      <c r="EU106" s="36">
        <f>$F$106*$DB$106</f>
        <v>300501</v>
      </c>
      <c r="EV106" s="36"/>
      <c r="EW106" s="36"/>
      <c r="EX106" s="36"/>
      <c r="EY106" s="36"/>
      <c r="EZ106" s="36"/>
      <c r="FA106" s="36"/>
      <c r="FB106" s="47"/>
      <c r="FC106" s="36"/>
      <c r="FD106" s="36"/>
      <c r="FE106" s="36"/>
      <c r="FF106" s="36"/>
      <c r="FG106" s="36"/>
      <c r="FH106" s="36"/>
      <c r="FI106" s="36"/>
      <c r="FJ106" s="36"/>
      <c r="FK106" s="36"/>
      <c r="FL106" s="36"/>
      <c r="FM106" s="36"/>
      <c r="FN106" s="36"/>
      <c r="FO106" s="47"/>
      <c r="FP106" s="36"/>
      <c r="FQ106" s="36"/>
      <c r="FR106" s="36"/>
      <c r="FS106" s="36"/>
      <c r="FT106" s="36"/>
      <c r="FU106" s="36"/>
      <c r="FV106" s="36"/>
      <c r="FW106" s="36"/>
      <c r="FX106" s="36"/>
      <c r="FY106" s="36"/>
      <c r="FZ106" s="36"/>
      <c r="GA106" s="36"/>
      <c r="GB106" s="47"/>
      <c r="GC106" s="36">
        <f t="shared" si="372"/>
        <v>426618</v>
      </c>
      <c r="GD106" s="36">
        <f t="shared" si="385"/>
        <v>54495</v>
      </c>
      <c r="GE106" s="36">
        <f t="shared" si="397"/>
        <v>57090</v>
      </c>
      <c r="GF106" s="36">
        <f t="shared" si="408"/>
        <v>60204</v>
      </c>
      <c r="GG106" s="36">
        <f aca="true" t="shared" si="419" ref="GG106:GG114">$I$105*$DB$105</f>
        <v>63318</v>
      </c>
      <c r="GH106" s="36">
        <f>$I$106*$DB$106</f>
        <v>66432</v>
      </c>
      <c r="GI106" s="36"/>
      <c r="GJ106" s="36"/>
      <c r="GK106" s="36"/>
      <c r="GL106" s="36"/>
      <c r="GM106" s="36"/>
      <c r="GN106" s="36"/>
      <c r="GO106" s="47"/>
      <c r="GP106" s="36">
        <f>SUM(DC106:GO106)</f>
        <v>16687926</v>
      </c>
      <c r="GQ106" s="38">
        <f>GP106*(1+$E$11)^-11</f>
        <v>9757084.710007075</v>
      </c>
      <c r="GR106" s="38">
        <f t="shared" si="373"/>
        <v>81645436.80000001</v>
      </c>
      <c r="GS106" s="52">
        <f t="shared" si="361"/>
        <v>47736395.945375666</v>
      </c>
      <c r="GT106" s="9"/>
    </row>
    <row r="107" spans="1:202" ht="15.75">
      <c r="A107" s="9">
        <v>2007</v>
      </c>
      <c r="B107" s="49">
        <v>2014</v>
      </c>
      <c r="C107" s="31">
        <f aca="true" t="shared" si="420" ref="C107:K107">C31</f>
        <v>389</v>
      </c>
      <c r="D107" s="31">
        <f t="shared" si="420"/>
        <v>144</v>
      </c>
      <c r="E107" s="31">
        <f t="shared" si="420"/>
        <v>1829</v>
      </c>
      <c r="F107" s="31">
        <f t="shared" si="420"/>
        <v>610</v>
      </c>
      <c r="G107" s="31">
        <f t="shared" si="420"/>
        <v>254</v>
      </c>
      <c r="H107" s="31">
        <f t="shared" si="420"/>
        <v>85</v>
      </c>
      <c r="I107" s="31">
        <f t="shared" si="420"/>
        <v>135</v>
      </c>
      <c r="J107" s="84">
        <f t="shared" si="420"/>
        <v>2913</v>
      </c>
      <c r="K107" s="86">
        <f t="shared" si="420"/>
        <v>3446</v>
      </c>
      <c r="L107" s="36">
        <f t="shared" si="375"/>
        <v>2020.2</v>
      </c>
      <c r="M107" s="36">
        <f t="shared" si="363"/>
        <v>4292925</v>
      </c>
      <c r="N107" s="36">
        <f t="shared" si="376"/>
        <v>628282.2000000001</v>
      </c>
      <c r="O107" s="36">
        <f t="shared" si="387"/>
        <v>658585.2000000001</v>
      </c>
      <c r="P107" s="36">
        <f t="shared" si="399"/>
        <v>686868</v>
      </c>
      <c r="Q107" s="36">
        <f t="shared" si="410"/>
        <v>719191.2000000001</v>
      </c>
      <c r="R107" s="36">
        <f aca="true" t="shared" si="421" ref="R107:R115">$C$106*$L$106</f>
        <v>751514.4</v>
      </c>
      <c r="S107" s="36">
        <f>$C$107*$L$107</f>
        <v>785857.8</v>
      </c>
      <c r="T107" s="36"/>
      <c r="U107" s="36"/>
      <c r="V107" s="36"/>
      <c r="W107" s="36"/>
      <c r="X107" s="36"/>
      <c r="Y107" s="47"/>
      <c r="Z107" s="36">
        <f t="shared" si="364"/>
        <v>1777776</v>
      </c>
      <c r="AA107" s="36">
        <f t="shared" si="377"/>
        <v>250504.80000000002</v>
      </c>
      <c r="AB107" s="36">
        <f t="shared" si="388"/>
        <v>258585.6</v>
      </c>
      <c r="AC107" s="36">
        <f t="shared" si="400"/>
        <v>266666.4</v>
      </c>
      <c r="AD107" s="36">
        <f t="shared" si="411"/>
        <v>274747.2</v>
      </c>
      <c r="AE107" s="36">
        <f aca="true" t="shared" si="422" ref="AE107:AE115">$D$106*$L$106</f>
        <v>282828</v>
      </c>
      <c r="AF107" s="36">
        <f>$D$107*$L$107</f>
        <v>290908.8</v>
      </c>
      <c r="AG107" s="36"/>
      <c r="AH107" s="36"/>
      <c r="AI107" s="36"/>
      <c r="AJ107" s="36"/>
      <c r="AK107" s="36"/>
      <c r="AL107" s="47"/>
      <c r="AM107" s="36">
        <f t="shared" si="365"/>
        <v>22549472.400000002</v>
      </c>
      <c r="AN107" s="36">
        <f t="shared" si="378"/>
        <v>2866663.8000000003</v>
      </c>
      <c r="AO107" s="36">
        <f t="shared" si="389"/>
        <v>3016158.6</v>
      </c>
      <c r="AP107" s="36">
        <f t="shared" si="401"/>
        <v>3173734.2</v>
      </c>
      <c r="AQ107" s="36">
        <f t="shared" si="412"/>
        <v>3337370.4</v>
      </c>
      <c r="AR107" s="36">
        <f aca="true" t="shared" si="423" ref="AR107:AR115">$E$106*$L$106</f>
        <v>3511107.6</v>
      </c>
      <c r="AS107" s="36">
        <f>$E$107*$L$107</f>
        <v>3694945.8000000003</v>
      </c>
      <c r="AT107" s="36"/>
      <c r="AU107" s="36"/>
      <c r="AV107" s="36"/>
      <c r="AW107" s="36"/>
      <c r="AX107" s="36"/>
      <c r="AY107" s="47"/>
      <c r="AZ107" s="36">
        <f t="shared" si="366"/>
        <v>7517164.2</v>
      </c>
      <c r="BA107" s="36">
        <f t="shared" si="379"/>
        <v>955554.6</v>
      </c>
      <c r="BB107" s="36">
        <f t="shared" si="390"/>
        <v>1006059.6</v>
      </c>
      <c r="BC107" s="36">
        <f t="shared" si="402"/>
        <v>1058584.8</v>
      </c>
      <c r="BD107" s="36">
        <f t="shared" si="413"/>
        <v>1113130.2</v>
      </c>
      <c r="BE107" s="36">
        <f aca="true" t="shared" si="424" ref="BE107:BE115">$F$106*$L$106</f>
        <v>1169695.8</v>
      </c>
      <c r="BF107" s="36">
        <f>$F$107*$L$107</f>
        <v>1232322</v>
      </c>
      <c r="BG107" s="36"/>
      <c r="BH107" s="36"/>
      <c r="BI107" s="36"/>
      <c r="BJ107" s="36"/>
      <c r="BK107" s="36"/>
      <c r="BL107" s="47"/>
      <c r="BM107" s="36"/>
      <c r="BN107" s="36"/>
      <c r="BO107" s="36"/>
      <c r="BP107" s="36"/>
      <c r="BQ107" s="36"/>
      <c r="BR107" s="36"/>
      <c r="BS107" s="36"/>
      <c r="BT107" s="36"/>
      <c r="BU107" s="36"/>
      <c r="BV107" s="36"/>
      <c r="BW107" s="36"/>
      <c r="BX107" s="36"/>
      <c r="BY107" s="47"/>
      <c r="BZ107" s="36"/>
      <c r="CA107" s="36"/>
      <c r="CB107" s="36"/>
      <c r="CC107" s="36"/>
      <c r="CD107" s="36"/>
      <c r="CE107" s="36"/>
      <c r="CF107" s="36"/>
      <c r="CG107" s="36"/>
      <c r="CH107" s="36"/>
      <c r="CI107" s="36"/>
      <c r="CJ107" s="36"/>
      <c r="CK107" s="36"/>
      <c r="CL107" s="47"/>
      <c r="CM107" s="36">
        <f t="shared" si="367"/>
        <v>1660604.4000000001</v>
      </c>
      <c r="CN107" s="36">
        <f t="shared" si="380"/>
        <v>212121</v>
      </c>
      <c r="CO107" s="36">
        <f t="shared" si="391"/>
        <v>222222</v>
      </c>
      <c r="CP107" s="36">
        <f t="shared" si="403"/>
        <v>234343.2</v>
      </c>
      <c r="CQ107" s="36">
        <f t="shared" si="414"/>
        <v>246464.4</v>
      </c>
      <c r="CR107" s="36">
        <f aca="true" t="shared" si="425" ref="CR107:CR115">$I$106*$L$106</f>
        <v>258585.6</v>
      </c>
      <c r="CS107" s="36">
        <f>$I$107*$L$107</f>
        <v>272727</v>
      </c>
      <c r="CT107" s="36"/>
      <c r="CU107" s="36"/>
      <c r="CV107" s="36"/>
      <c r="CW107" s="36"/>
      <c r="CX107" s="36"/>
      <c r="CY107" s="36"/>
      <c r="CZ107" s="36">
        <f t="shared" si="360"/>
        <v>71234272.2</v>
      </c>
      <c r="DA107" s="38">
        <f>CZ107*(1+$E$10)^-12</f>
        <v>39665908.2176055</v>
      </c>
      <c r="DB107" s="78">
        <f t="shared" si="392"/>
        <v>519</v>
      </c>
      <c r="DC107" s="36">
        <f t="shared" si="368"/>
        <v>1102875</v>
      </c>
      <c r="DD107" s="36">
        <f t="shared" si="381"/>
        <v>161409</v>
      </c>
      <c r="DE107" s="36">
        <f t="shared" si="393"/>
        <v>169194</v>
      </c>
      <c r="DF107" s="36">
        <f t="shared" si="404"/>
        <v>176460</v>
      </c>
      <c r="DG107" s="36">
        <f t="shared" si="415"/>
        <v>184764</v>
      </c>
      <c r="DH107" s="36">
        <f aca="true" t="shared" si="426" ref="DH107:DH115">$C$106*$DB$106</f>
        <v>193068</v>
      </c>
      <c r="DI107" s="36">
        <f>$C$107*$DB$107</f>
        <v>201891</v>
      </c>
      <c r="DJ107" s="36"/>
      <c r="DK107" s="36"/>
      <c r="DL107" s="36"/>
      <c r="DM107" s="36"/>
      <c r="DN107" s="36"/>
      <c r="DO107" s="47"/>
      <c r="DP107" s="36">
        <f t="shared" si="369"/>
        <v>456720</v>
      </c>
      <c r="DQ107" s="36">
        <f t="shared" si="382"/>
        <v>64356</v>
      </c>
      <c r="DR107" s="36">
        <f t="shared" si="394"/>
        <v>66432</v>
      </c>
      <c r="DS107" s="36">
        <f t="shared" si="405"/>
        <v>68508</v>
      </c>
      <c r="DT107" s="36">
        <f t="shared" si="416"/>
        <v>70584</v>
      </c>
      <c r="DU107" s="36">
        <f aca="true" t="shared" si="427" ref="DU107:DU115">$D$106*$DB$106</f>
        <v>72660</v>
      </c>
      <c r="DV107" s="36">
        <f>$D$107*$DB$107</f>
        <v>74736</v>
      </c>
      <c r="DW107" s="36"/>
      <c r="DX107" s="36"/>
      <c r="DY107" s="36"/>
      <c r="DZ107" s="36"/>
      <c r="EA107" s="36"/>
      <c r="EB107" s="47"/>
      <c r="EC107" s="36">
        <f t="shared" si="370"/>
        <v>5793078</v>
      </c>
      <c r="ED107" s="36">
        <f t="shared" si="383"/>
        <v>736461</v>
      </c>
      <c r="EE107" s="36">
        <f t="shared" si="395"/>
        <v>774867</v>
      </c>
      <c r="EF107" s="36">
        <f t="shared" si="406"/>
        <v>815349</v>
      </c>
      <c r="EG107" s="36">
        <f t="shared" si="417"/>
        <v>857388</v>
      </c>
      <c r="EH107" s="36">
        <f aca="true" t="shared" si="428" ref="EH107:EH115">$E$106*$DB$106</f>
        <v>902022</v>
      </c>
      <c r="EI107" s="36">
        <f>$E$107*$DB$107</f>
        <v>949251</v>
      </c>
      <c r="EJ107" s="36"/>
      <c r="EK107" s="36"/>
      <c r="EL107" s="36"/>
      <c r="EM107" s="36"/>
      <c r="EN107" s="36"/>
      <c r="EO107" s="47"/>
      <c r="EP107" s="36">
        <f t="shared" si="371"/>
        <v>1931199</v>
      </c>
      <c r="EQ107" s="36">
        <f t="shared" si="384"/>
        <v>245487</v>
      </c>
      <c r="ER107" s="36">
        <f t="shared" si="396"/>
        <v>258462</v>
      </c>
      <c r="ES107" s="36">
        <f t="shared" si="407"/>
        <v>271956</v>
      </c>
      <c r="ET107" s="36">
        <f t="shared" si="418"/>
        <v>285969</v>
      </c>
      <c r="EU107" s="36">
        <f aca="true" t="shared" si="429" ref="EU107:EU115">$F$106*$DB$106</f>
        <v>300501</v>
      </c>
      <c r="EV107" s="36">
        <f>$F$107*$DB$107</f>
        <v>316590</v>
      </c>
      <c r="EW107" s="36"/>
      <c r="EX107" s="36"/>
      <c r="EY107" s="36"/>
      <c r="EZ107" s="36"/>
      <c r="FA107" s="36"/>
      <c r="FB107" s="47"/>
      <c r="FC107" s="36"/>
      <c r="FD107" s="36"/>
      <c r="FE107" s="36"/>
      <c r="FF107" s="36"/>
      <c r="FG107" s="36"/>
      <c r="FH107" s="36"/>
      <c r="FI107" s="36"/>
      <c r="FJ107" s="36"/>
      <c r="FK107" s="36"/>
      <c r="FL107" s="36"/>
      <c r="FM107" s="36"/>
      <c r="FN107" s="36"/>
      <c r="FO107" s="47"/>
      <c r="FP107" s="36"/>
      <c r="FQ107" s="36"/>
      <c r="FR107" s="36"/>
      <c r="FS107" s="36"/>
      <c r="FT107" s="36"/>
      <c r="FU107" s="36"/>
      <c r="FV107" s="36"/>
      <c r="FW107" s="36"/>
      <c r="FX107" s="36"/>
      <c r="FY107" s="36"/>
      <c r="FZ107" s="36"/>
      <c r="GA107" s="36"/>
      <c r="GB107" s="47"/>
      <c r="GC107" s="36">
        <f t="shared" si="372"/>
        <v>426618</v>
      </c>
      <c r="GD107" s="36">
        <f t="shared" si="385"/>
        <v>54495</v>
      </c>
      <c r="GE107" s="36">
        <f t="shared" si="397"/>
        <v>57090</v>
      </c>
      <c r="GF107" s="36">
        <f t="shared" si="408"/>
        <v>60204</v>
      </c>
      <c r="GG107" s="36">
        <f t="shared" si="419"/>
        <v>63318</v>
      </c>
      <c r="GH107" s="36">
        <f aca="true" t="shared" si="430" ref="GH107:GH115">$I$106*$DB$106</f>
        <v>66432</v>
      </c>
      <c r="GI107" s="36">
        <f>$I$107*$DB$107</f>
        <v>70065</v>
      </c>
      <c r="GJ107" s="36"/>
      <c r="GK107" s="36"/>
      <c r="GL107" s="36"/>
      <c r="GM107" s="36"/>
      <c r="GN107" s="36"/>
      <c r="GO107" s="47"/>
      <c r="GP107" s="36">
        <f>SUM(DC107:GO107)</f>
        <v>18300459</v>
      </c>
      <c r="GQ107" s="38">
        <f>GP107*(1+$E$11)^-12</f>
        <v>10190380.341024281</v>
      </c>
      <c r="GR107" s="38">
        <f t="shared" si="373"/>
        <v>89534731.2</v>
      </c>
      <c r="GS107" s="52">
        <f t="shared" si="361"/>
        <v>49856288.55862978</v>
      </c>
      <c r="GT107" s="9"/>
    </row>
    <row r="108" spans="1:202" ht="15.75">
      <c r="A108" s="9">
        <v>2008</v>
      </c>
      <c r="B108" s="49">
        <v>2015</v>
      </c>
      <c r="C108" s="31">
        <f aca="true" t="shared" si="431" ref="C108:K108">C32</f>
        <v>407</v>
      </c>
      <c r="D108" s="31">
        <f t="shared" si="431"/>
        <v>148</v>
      </c>
      <c r="E108" s="31">
        <f t="shared" si="431"/>
        <v>1924</v>
      </c>
      <c r="F108" s="31">
        <f t="shared" si="431"/>
        <v>641</v>
      </c>
      <c r="G108" s="31">
        <f t="shared" si="431"/>
        <v>279</v>
      </c>
      <c r="H108" s="31">
        <f t="shared" si="431"/>
        <v>93</v>
      </c>
      <c r="I108" s="31">
        <f t="shared" si="431"/>
        <v>142</v>
      </c>
      <c r="J108" s="84">
        <f t="shared" si="431"/>
        <v>3079</v>
      </c>
      <c r="K108" s="86">
        <f t="shared" si="431"/>
        <v>3634</v>
      </c>
      <c r="L108" s="36">
        <f t="shared" si="375"/>
        <v>2020.2</v>
      </c>
      <c r="M108" s="36">
        <f t="shared" si="363"/>
        <v>4292925</v>
      </c>
      <c r="N108" s="36">
        <f t="shared" si="376"/>
        <v>628282.2000000001</v>
      </c>
      <c r="O108" s="36">
        <f t="shared" si="387"/>
        <v>658585.2000000001</v>
      </c>
      <c r="P108" s="36">
        <f t="shared" si="399"/>
        <v>686868</v>
      </c>
      <c r="Q108" s="36">
        <f t="shared" si="410"/>
        <v>719191.2000000001</v>
      </c>
      <c r="R108" s="36">
        <f t="shared" si="421"/>
        <v>751514.4</v>
      </c>
      <c r="S108" s="36">
        <f aca="true" t="shared" si="432" ref="S108:S116">$C$107*$L$107</f>
        <v>785857.8</v>
      </c>
      <c r="T108" s="36">
        <f>$C$108*$L$108</f>
        <v>822221.4</v>
      </c>
      <c r="U108" s="36"/>
      <c r="V108" s="36"/>
      <c r="W108" s="36"/>
      <c r="X108" s="36"/>
      <c r="Y108" s="47"/>
      <c r="Z108" s="36">
        <f t="shared" si="364"/>
        <v>1777776</v>
      </c>
      <c r="AA108" s="36">
        <f t="shared" si="377"/>
        <v>250504.80000000002</v>
      </c>
      <c r="AB108" s="36">
        <f t="shared" si="388"/>
        <v>258585.6</v>
      </c>
      <c r="AC108" s="36">
        <f t="shared" si="400"/>
        <v>266666.4</v>
      </c>
      <c r="AD108" s="36">
        <f t="shared" si="411"/>
        <v>274747.2</v>
      </c>
      <c r="AE108" s="36">
        <f t="shared" si="422"/>
        <v>282828</v>
      </c>
      <c r="AF108" s="36">
        <f aca="true" t="shared" si="433" ref="AF108:AF116">$D$107*$L$107</f>
        <v>290908.8</v>
      </c>
      <c r="AG108" s="36">
        <f>$D$108*$L$108</f>
        <v>298989.60000000003</v>
      </c>
      <c r="AH108" s="36"/>
      <c r="AI108" s="36"/>
      <c r="AJ108" s="36"/>
      <c r="AK108" s="36"/>
      <c r="AL108" s="47"/>
      <c r="AM108" s="36">
        <f t="shared" si="365"/>
        <v>22549472.400000002</v>
      </c>
      <c r="AN108" s="36">
        <f t="shared" si="378"/>
        <v>2866663.8000000003</v>
      </c>
      <c r="AO108" s="36">
        <f t="shared" si="389"/>
        <v>3016158.6</v>
      </c>
      <c r="AP108" s="36">
        <f t="shared" si="401"/>
        <v>3173734.2</v>
      </c>
      <c r="AQ108" s="36">
        <f t="shared" si="412"/>
        <v>3337370.4</v>
      </c>
      <c r="AR108" s="36">
        <f t="shared" si="423"/>
        <v>3511107.6</v>
      </c>
      <c r="AS108" s="36">
        <f aca="true" t="shared" si="434" ref="AS108:AS116">$E$107*$L$107</f>
        <v>3694945.8000000003</v>
      </c>
      <c r="AT108" s="36">
        <f>$E$108*$L$108</f>
        <v>3886864.8000000003</v>
      </c>
      <c r="AU108" s="36"/>
      <c r="AV108" s="36"/>
      <c r="AW108" s="36"/>
      <c r="AX108" s="36"/>
      <c r="AY108" s="47"/>
      <c r="AZ108" s="36">
        <f t="shared" si="366"/>
        <v>7517164.2</v>
      </c>
      <c r="BA108" s="36">
        <f t="shared" si="379"/>
        <v>955554.6</v>
      </c>
      <c r="BB108" s="36">
        <f t="shared" si="390"/>
        <v>1006059.6</v>
      </c>
      <c r="BC108" s="36">
        <f t="shared" si="402"/>
        <v>1058584.8</v>
      </c>
      <c r="BD108" s="36">
        <f t="shared" si="413"/>
        <v>1113130.2</v>
      </c>
      <c r="BE108" s="36">
        <f t="shared" si="424"/>
        <v>1169695.8</v>
      </c>
      <c r="BF108" s="36">
        <f aca="true" t="shared" si="435" ref="BF108:BF116">$F$107*$L$107</f>
        <v>1232322</v>
      </c>
      <c r="BG108" s="36">
        <f>$F$108*$L$108</f>
        <v>1294948.2</v>
      </c>
      <c r="BH108" s="36"/>
      <c r="BI108" s="36"/>
      <c r="BJ108" s="36"/>
      <c r="BK108" s="36"/>
      <c r="BL108" s="47"/>
      <c r="BM108" s="36"/>
      <c r="BN108" s="36"/>
      <c r="BO108" s="36"/>
      <c r="BP108" s="36"/>
      <c r="BQ108" s="36"/>
      <c r="BR108" s="36"/>
      <c r="BS108" s="36"/>
      <c r="BT108" s="36"/>
      <c r="BU108" s="36"/>
      <c r="BV108" s="36"/>
      <c r="BW108" s="36"/>
      <c r="BX108" s="36"/>
      <c r="BY108" s="47"/>
      <c r="BZ108" s="36"/>
      <c r="CA108" s="36"/>
      <c r="CB108" s="36"/>
      <c r="CC108" s="36"/>
      <c r="CD108" s="36"/>
      <c r="CE108" s="36"/>
      <c r="CF108" s="36"/>
      <c r="CG108" s="36"/>
      <c r="CH108" s="36"/>
      <c r="CI108" s="36"/>
      <c r="CJ108" s="36"/>
      <c r="CK108" s="36"/>
      <c r="CL108" s="47"/>
      <c r="CM108" s="36">
        <f t="shared" si="367"/>
        <v>1660604.4000000001</v>
      </c>
      <c r="CN108" s="36">
        <f t="shared" si="380"/>
        <v>212121</v>
      </c>
      <c r="CO108" s="36">
        <f t="shared" si="391"/>
        <v>222222</v>
      </c>
      <c r="CP108" s="36">
        <f t="shared" si="403"/>
        <v>234343.2</v>
      </c>
      <c r="CQ108" s="36">
        <f t="shared" si="414"/>
        <v>246464.4</v>
      </c>
      <c r="CR108" s="36">
        <f t="shared" si="425"/>
        <v>258585.6</v>
      </c>
      <c r="CS108" s="36">
        <f aca="true" t="shared" si="436" ref="CS108:CS116">$I$107*$L$107</f>
        <v>272727</v>
      </c>
      <c r="CT108" s="36">
        <f>$I$108*$L$108</f>
        <v>286868.4</v>
      </c>
      <c r="CU108" s="36"/>
      <c r="CV108" s="36"/>
      <c r="CW108" s="36"/>
      <c r="CX108" s="36"/>
      <c r="CY108" s="36"/>
      <c r="CZ108" s="36">
        <f t="shared" si="360"/>
        <v>77824164.60000001</v>
      </c>
      <c r="DA108" s="38">
        <f>CZ108*(1+$E$10)^-13</f>
        <v>41271816.08351373</v>
      </c>
      <c r="DB108" s="78">
        <f t="shared" si="392"/>
        <v>519</v>
      </c>
      <c r="DC108" s="36">
        <f t="shared" si="368"/>
        <v>1102875</v>
      </c>
      <c r="DD108" s="36">
        <f t="shared" si="381"/>
        <v>161409</v>
      </c>
      <c r="DE108" s="36">
        <f t="shared" si="393"/>
        <v>169194</v>
      </c>
      <c r="DF108" s="36">
        <f t="shared" si="404"/>
        <v>176460</v>
      </c>
      <c r="DG108" s="36">
        <f t="shared" si="415"/>
        <v>184764</v>
      </c>
      <c r="DH108" s="36">
        <f t="shared" si="426"/>
        <v>193068</v>
      </c>
      <c r="DI108" s="36">
        <f aca="true" t="shared" si="437" ref="DI108:DI116">$C$107*$DB$107</f>
        <v>201891</v>
      </c>
      <c r="DJ108" s="36">
        <f>$C$108*$DB$108</f>
        <v>211233</v>
      </c>
      <c r="DK108" s="36"/>
      <c r="DL108" s="36"/>
      <c r="DM108" s="36"/>
      <c r="DN108" s="36"/>
      <c r="DO108" s="47"/>
      <c r="DP108" s="36">
        <f t="shared" si="369"/>
        <v>456720</v>
      </c>
      <c r="DQ108" s="36">
        <f t="shared" si="382"/>
        <v>64356</v>
      </c>
      <c r="DR108" s="36">
        <f t="shared" si="394"/>
        <v>66432</v>
      </c>
      <c r="DS108" s="36">
        <f t="shared" si="405"/>
        <v>68508</v>
      </c>
      <c r="DT108" s="36">
        <f t="shared" si="416"/>
        <v>70584</v>
      </c>
      <c r="DU108" s="36">
        <f t="shared" si="427"/>
        <v>72660</v>
      </c>
      <c r="DV108" s="36">
        <f aca="true" t="shared" si="438" ref="DV108:DV116">$D$107*$DB$107</f>
        <v>74736</v>
      </c>
      <c r="DW108" s="36">
        <f>$D$108*$DB$108</f>
        <v>76812</v>
      </c>
      <c r="DX108" s="36"/>
      <c r="DY108" s="36"/>
      <c r="DZ108" s="36"/>
      <c r="EA108" s="36"/>
      <c r="EB108" s="47"/>
      <c r="EC108" s="36">
        <f t="shared" si="370"/>
        <v>5793078</v>
      </c>
      <c r="ED108" s="36">
        <f t="shared" si="383"/>
        <v>736461</v>
      </c>
      <c r="EE108" s="36">
        <f t="shared" si="395"/>
        <v>774867</v>
      </c>
      <c r="EF108" s="36">
        <f t="shared" si="406"/>
        <v>815349</v>
      </c>
      <c r="EG108" s="36">
        <f t="shared" si="417"/>
        <v>857388</v>
      </c>
      <c r="EH108" s="36">
        <f t="shared" si="428"/>
        <v>902022</v>
      </c>
      <c r="EI108" s="36">
        <f aca="true" t="shared" si="439" ref="EI108:EI116">$E$107*$DB$107</f>
        <v>949251</v>
      </c>
      <c r="EJ108" s="36">
        <f>$E$108*$DB$108</f>
        <v>998556</v>
      </c>
      <c r="EK108" s="36"/>
      <c r="EL108" s="36"/>
      <c r="EM108" s="36"/>
      <c r="EN108" s="36"/>
      <c r="EO108" s="47"/>
      <c r="EP108" s="36">
        <f t="shared" si="371"/>
        <v>1931199</v>
      </c>
      <c r="EQ108" s="36">
        <f t="shared" si="384"/>
        <v>245487</v>
      </c>
      <c r="ER108" s="36">
        <f t="shared" si="396"/>
        <v>258462</v>
      </c>
      <c r="ES108" s="36">
        <f t="shared" si="407"/>
        <v>271956</v>
      </c>
      <c r="ET108" s="36">
        <f t="shared" si="418"/>
        <v>285969</v>
      </c>
      <c r="EU108" s="36">
        <f t="shared" si="429"/>
        <v>300501</v>
      </c>
      <c r="EV108" s="36">
        <f aca="true" t="shared" si="440" ref="EV108:EV116">$F$107*$DB$107</f>
        <v>316590</v>
      </c>
      <c r="EW108" s="36">
        <f>$F$108*$DB$108</f>
        <v>332679</v>
      </c>
      <c r="EX108" s="36"/>
      <c r="EY108" s="36"/>
      <c r="EZ108" s="36"/>
      <c r="FA108" s="36"/>
      <c r="FB108" s="47"/>
      <c r="FC108" s="36"/>
      <c r="FD108" s="36"/>
      <c r="FE108" s="36"/>
      <c r="FF108" s="36"/>
      <c r="FG108" s="36"/>
      <c r="FH108" s="36"/>
      <c r="FI108" s="36"/>
      <c r="FJ108" s="36"/>
      <c r="FK108" s="36"/>
      <c r="FL108" s="36"/>
      <c r="FM108" s="36"/>
      <c r="FN108" s="36"/>
      <c r="FO108" s="47"/>
      <c r="FP108" s="36"/>
      <c r="FQ108" s="36"/>
      <c r="FR108" s="36"/>
      <c r="FS108" s="36"/>
      <c r="FT108" s="36"/>
      <c r="FU108" s="36"/>
      <c r="FV108" s="36"/>
      <c r="FW108" s="36"/>
      <c r="FX108" s="36"/>
      <c r="FY108" s="36"/>
      <c r="FZ108" s="36"/>
      <c r="GA108" s="36"/>
      <c r="GB108" s="47"/>
      <c r="GC108" s="36">
        <f t="shared" si="372"/>
        <v>426618</v>
      </c>
      <c r="GD108" s="36">
        <f t="shared" si="385"/>
        <v>54495</v>
      </c>
      <c r="GE108" s="36">
        <f t="shared" si="397"/>
        <v>57090</v>
      </c>
      <c r="GF108" s="36">
        <f t="shared" si="408"/>
        <v>60204</v>
      </c>
      <c r="GG108" s="36">
        <f t="shared" si="419"/>
        <v>63318</v>
      </c>
      <c r="GH108" s="36">
        <f t="shared" si="430"/>
        <v>66432</v>
      </c>
      <c r="GI108" s="36">
        <f aca="true" t="shared" si="441" ref="GI108:GI116">$I$107*$DB$107</f>
        <v>70065</v>
      </c>
      <c r="GJ108" s="36">
        <f>$I$108*$DB$108</f>
        <v>73698</v>
      </c>
      <c r="GK108" s="36"/>
      <c r="GL108" s="36"/>
      <c r="GM108" s="36"/>
      <c r="GN108" s="36"/>
      <c r="GO108" s="47"/>
      <c r="GP108" s="36">
        <f>SUM(DC108:GO108)</f>
        <v>19993437</v>
      </c>
      <c r="GQ108" s="38">
        <f>GP108*(1+$E$11)^-13</f>
        <v>10602946.513881607</v>
      </c>
      <c r="GR108" s="38">
        <f t="shared" si="373"/>
        <v>97817601.60000001</v>
      </c>
      <c r="GS108" s="52">
        <f t="shared" si="361"/>
        <v>51874762.59739534</v>
      </c>
      <c r="GT108" s="9"/>
    </row>
    <row r="109" spans="1:202" ht="15.75">
      <c r="A109" s="9">
        <v>2009</v>
      </c>
      <c r="B109" s="49">
        <v>2016</v>
      </c>
      <c r="C109" s="31">
        <f aca="true" t="shared" si="442" ref="C109:K109">C33</f>
        <v>426</v>
      </c>
      <c r="D109" s="31">
        <f t="shared" si="442"/>
        <v>153</v>
      </c>
      <c r="E109" s="31">
        <f t="shared" si="442"/>
        <v>2024</v>
      </c>
      <c r="F109" s="31">
        <f t="shared" si="442"/>
        <v>675</v>
      </c>
      <c r="G109" s="31">
        <f t="shared" si="442"/>
        <v>308</v>
      </c>
      <c r="H109" s="31">
        <f t="shared" si="442"/>
        <v>103</v>
      </c>
      <c r="I109" s="31">
        <f t="shared" si="442"/>
        <v>149</v>
      </c>
      <c r="J109" s="84">
        <f t="shared" si="442"/>
        <v>3259</v>
      </c>
      <c r="K109" s="86">
        <f t="shared" si="442"/>
        <v>3838</v>
      </c>
      <c r="L109" s="36">
        <f t="shared" si="375"/>
        <v>2020.2</v>
      </c>
      <c r="M109" s="36">
        <f t="shared" si="363"/>
        <v>4292925</v>
      </c>
      <c r="N109" s="36">
        <f t="shared" si="376"/>
        <v>628282.2000000001</v>
      </c>
      <c r="O109" s="36">
        <f t="shared" si="387"/>
        <v>658585.2000000001</v>
      </c>
      <c r="P109" s="36">
        <f t="shared" si="399"/>
        <v>686868</v>
      </c>
      <c r="Q109" s="36">
        <f t="shared" si="410"/>
        <v>719191.2000000001</v>
      </c>
      <c r="R109" s="36">
        <f t="shared" si="421"/>
        <v>751514.4</v>
      </c>
      <c r="S109" s="36">
        <f t="shared" si="432"/>
        <v>785857.8</v>
      </c>
      <c r="T109" s="36">
        <f aca="true" t="shared" si="443" ref="T109:T117">$C$108*$L$108</f>
        <v>822221.4</v>
      </c>
      <c r="U109" s="36">
        <f>$C$109*$L$109</f>
        <v>860605.2000000001</v>
      </c>
      <c r="V109" s="36"/>
      <c r="W109" s="36"/>
      <c r="X109" s="36"/>
      <c r="Y109" s="47"/>
      <c r="Z109" s="36">
        <f t="shared" si="364"/>
        <v>1777776</v>
      </c>
      <c r="AA109" s="36">
        <f t="shared" si="377"/>
        <v>250504.80000000002</v>
      </c>
      <c r="AB109" s="36">
        <f t="shared" si="388"/>
        <v>258585.6</v>
      </c>
      <c r="AC109" s="36">
        <f t="shared" si="400"/>
        <v>266666.4</v>
      </c>
      <c r="AD109" s="36">
        <f t="shared" si="411"/>
        <v>274747.2</v>
      </c>
      <c r="AE109" s="36">
        <f t="shared" si="422"/>
        <v>282828</v>
      </c>
      <c r="AF109" s="36">
        <f t="shared" si="433"/>
        <v>290908.8</v>
      </c>
      <c r="AG109" s="36">
        <f aca="true" t="shared" si="444" ref="AG109:AG117">$D$108*$L$108</f>
        <v>298989.60000000003</v>
      </c>
      <c r="AH109" s="36">
        <f>$D$109*$L$109</f>
        <v>309090.60000000003</v>
      </c>
      <c r="AI109" s="36"/>
      <c r="AJ109" s="36"/>
      <c r="AK109" s="36"/>
      <c r="AL109" s="47"/>
      <c r="AM109" s="36">
        <f t="shared" si="365"/>
        <v>22549472.400000002</v>
      </c>
      <c r="AN109" s="36">
        <f t="shared" si="378"/>
        <v>2866663.8000000003</v>
      </c>
      <c r="AO109" s="36">
        <f t="shared" si="389"/>
        <v>3016158.6</v>
      </c>
      <c r="AP109" s="36">
        <f t="shared" si="401"/>
        <v>3173734.2</v>
      </c>
      <c r="AQ109" s="36">
        <f t="shared" si="412"/>
        <v>3337370.4</v>
      </c>
      <c r="AR109" s="36">
        <f t="shared" si="423"/>
        <v>3511107.6</v>
      </c>
      <c r="AS109" s="36">
        <f t="shared" si="434"/>
        <v>3694945.8000000003</v>
      </c>
      <c r="AT109" s="36">
        <f aca="true" t="shared" si="445" ref="AT109:AT117">$E$108*$L$108</f>
        <v>3886864.8000000003</v>
      </c>
      <c r="AU109" s="36">
        <f>$E$109*$L$109</f>
        <v>4088884.8000000003</v>
      </c>
      <c r="AV109" s="36"/>
      <c r="AW109" s="36"/>
      <c r="AX109" s="36"/>
      <c r="AY109" s="47"/>
      <c r="AZ109" s="36">
        <f t="shared" si="366"/>
        <v>7517164.2</v>
      </c>
      <c r="BA109" s="36">
        <f t="shared" si="379"/>
        <v>955554.6</v>
      </c>
      <c r="BB109" s="36">
        <f t="shared" si="390"/>
        <v>1006059.6</v>
      </c>
      <c r="BC109" s="36">
        <f t="shared" si="402"/>
        <v>1058584.8</v>
      </c>
      <c r="BD109" s="36">
        <f t="shared" si="413"/>
        <v>1113130.2</v>
      </c>
      <c r="BE109" s="36">
        <f t="shared" si="424"/>
        <v>1169695.8</v>
      </c>
      <c r="BF109" s="36">
        <f t="shared" si="435"/>
        <v>1232322</v>
      </c>
      <c r="BG109" s="36">
        <f aca="true" t="shared" si="446" ref="BG109:BG117">$F$108*$L$108</f>
        <v>1294948.2</v>
      </c>
      <c r="BH109" s="36">
        <f>$F$109*$L$109</f>
        <v>1363635</v>
      </c>
      <c r="BI109" s="36"/>
      <c r="BJ109" s="36"/>
      <c r="BK109" s="36"/>
      <c r="BL109" s="47"/>
      <c r="BM109" s="36"/>
      <c r="BN109" s="36"/>
      <c r="BO109" s="36"/>
      <c r="BP109" s="36"/>
      <c r="BQ109" s="36"/>
      <c r="BR109" s="36"/>
      <c r="BS109" s="36"/>
      <c r="BT109" s="36"/>
      <c r="BU109" s="36"/>
      <c r="BV109" s="36"/>
      <c r="BW109" s="36"/>
      <c r="BX109" s="36"/>
      <c r="BY109" s="47"/>
      <c r="BZ109" s="36"/>
      <c r="CA109" s="36"/>
      <c r="CB109" s="36"/>
      <c r="CC109" s="36"/>
      <c r="CD109" s="36"/>
      <c r="CE109" s="36"/>
      <c r="CF109" s="36"/>
      <c r="CG109" s="36"/>
      <c r="CH109" s="36"/>
      <c r="CI109" s="36"/>
      <c r="CJ109" s="36"/>
      <c r="CK109" s="36"/>
      <c r="CL109" s="47"/>
      <c r="CM109" s="36">
        <f t="shared" si="367"/>
        <v>1660604.4000000001</v>
      </c>
      <c r="CN109" s="36">
        <f t="shared" si="380"/>
        <v>212121</v>
      </c>
      <c r="CO109" s="36">
        <f t="shared" si="391"/>
        <v>222222</v>
      </c>
      <c r="CP109" s="36">
        <f t="shared" si="403"/>
        <v>234343.2</v>
      </c>
      <c r="CQ109" s="36">
        <f t="shared" si="414"/>
        <v>246464.4</v>
      </c>
      <c r="CR109" s="36">
        <f t="shared" si="425"/>
        <v>258585.6</v>
      </c>
      <c r="CS109" s="36">
        <f t="shared" si="436"/>
        <v>272727</v>
      </c>
      <c r="CT109" s="36">
        <f aca="true" t="shared" si="447" ref="CT109:CT117">$I$108*$L$108</f>
        <v>286868.4</v>
      </c>
      <c r="CU109" s="36">
        <f>$I$109*$L$109</f>
        <v>301009.8</v>
      </c>
      <c r="CV109" s="36"/>
      <c r="CW109" s="36"/>
      <c r="CX109" s="36"/>
      <c r="CY109" s="36"/>
      <c r="CZ109" s="36">
        <f t="shared" si="360"/>
        <v>84747390</v>
      </c>
      <c r="DA109" s="38">
        <f>CZ109*(1+$E$10)^-14</f>
        <v>42803190.78901291</v>
      </c>
      <c r="DB109" s="78">
        <f t="shared" si="392"/>
        <v>519</v>
      </c>
      <c r="DC109" s="36">
        <f t="shared" si="368"/>
        <v>1102875</v>
      </c>
      <c r="DD109" s="36">
        <f t="shared" si="381"/>
        <v>161409</v>
      </c>
      <c r="DE109" s="36">
        <f t="shared" si="393"/>
        <v>169194</v>
      </c>
      <c r="DF109" s="36">
        <f t="shared" si="404"/>
        <v>176460</v>
      </c>
      <c r="DG109" s="36">
        <f t="shared" si="415"/>
        <v>184764</v>
      </c>
      <c r="DH109" s="36">
        <f t="shared" si="426"/>
        <v>193068</v>
      </c>
      <c r="DI109" s="36">
        <f t="shared" si="437"/>
        <v>201891</v>
      </c>
      <c r="DJ109" s="36">
        <f aca="true" t="shared" si="448" ref="DJ109:DJ117">$C$108*$DB$108</f>
        <v>211233</v>
      </c>
      <c r="DK109" s="36">
        <f>$C$109*$DB$109</f>
        <v>221094</v>
      </c>
      <c r="DL109" s="36"/>
      <c r="DM109" s="36"/>
      <c r="DN109" s="36"/>
      <c r="DO109" s="47"/>
      <c r="DP109" s="36">
        <f t="shared" si="369"/>
        <v>456720</v>
      </c>
      <c r="DQ109" s="36">
        <f t="shared" si="382"/>
        <v>64356</v>
      </c>
      <c r="DR109" s="36">
        <f t="shared" si="394"/>
        <v>66432</v>
      </c>
      <c r="DS109" s="36">
        <f t="shared" si="405"/>
        <v>68508</v>
      </c>
      <c r="DT109" s="36">
        <f t="shared" si="416"/>
        <v>70584</v>
      </c>
      <c r="DU109" s="36">
        <f t="shared" si="427"/>
        <v>72660</v>
      </c>
      <c r="DV109" s="36">
        <f t="shared" si="438"/>
        <v>74736</v>
      </c>
      <c r="DW109" s="36">
        <f aca="true" t="shared" si="449" ref="DW109:DW117">$D$108*$DB$108</f>
        <v>76812</v>
      </c>
      <c r="DX109" s="36">
        <f>$D$109*$DB$109</f>
        <v>79407</v>
      </c>
      <c r="DY109" s="36"/>
      <c r="DZ109" s="36"/>
      <c r="EA109" s="36"/>
      <c r="EB109" s="47"/>
      <c r="EC109" s="36">
        <f t="shared" si="370"/>
        <v>5793078</v>
      </c>
      <c r="ED109" s="36">
        <f t="shared" si="383"/>
        <v>736461</v>
      </c>
      <c r="EE109" s="36">
        <f t="shared" si="395"/>
        <v>774867</v>
      </c>
      <c r="EF109" s="36">
        <f t="shared" si="406"/>
        <v>815349</v>
      </c>
      <c r="EG109" s="36">
        <f t="shared" si="417"/>
        <v>857388</v>
      </c>
      <c r="EH109" s="36">
        <f t="shared" si="428"/>
        <v>902022</v>
      </c>
      <c r="EI109" s="36">
        <f t="shared" si="439"/>
        <v>949251</v>
      </c>
      <c r="EJ109" s="36">
        <f aca="true" t="shared" si="450" ref="EJ109:EJ117">$E$108*$DB$108</f>
        <v>998556</v>
      </c>
      <c r="EK109" s="36">
        <f>$E$109*$DB$109</f>
        <v>1050456</v>
      </c>
      <c r="EL109" s="36"/>
      <c r="EM109" s="36"/>
      <c r="EN109" s="36"/>
      <c r="EO109" s="47"/>
      <c r="EP109" s="36">
        <f t="shared" si="371"/>
        <v>1931199</v>
      </c>
      <c r="EQ109" s="36">
        <f t="shared" si="384"/>
        <v>245487</v>
      </c>
      <c r="ER109" s="36">
        <f t="shared" si="396"/>
        <v>258462</v>
      </c>
      <c r="ES109" s="36">
        <f t="shared" si="407"/>
        <v>271956</v>
      </c>
      <c r="ET109" s="36">
        <f t="shared" si="418"/>
        <v>285969</v>
      </c>
      <c r="EU109" s="36">
        <f t="shared" si="429"/>
        <v>300501</v>
      </c>
      <c r="EV109" s="36">
        <f t="shared" si="440"/>
        <v>316590</v>
      </c>
      <c r="EW109" s="36">
        <f aca="true" t="shared" si="451" ref="EW109:EW117">$F$108*$DB$108</f>
        <v>332679</v>
      </c>
      <c r="EX109" s="36">
        <f>$F$109*$DB$109</f>
        <v>350325</v>
      </c>
      <c r="EY109" s="36"/>
      <c r="EZ109" s="36"/>
      <c r="FA109" s="36"/>
      <c r="FB109" s="47"/>
      <c r="FC109" s="36"/>
      <c r="FD109" s="36"/>
      <c r="FE109" s="36"/>
      <c r="FF109" s="36"/>
      <c r="FG109" s="36"/>
      <c r="FH109" s="36"/>
      <c r="FI109" s="36"/>
      <c r="FJ109" s="36"/>
      <c r="FK109" s="36"/>
      <c r="FL109" s="36"/>
      <c r="FM109" s="36"/>
      <c r="FN109" s="36"/>
      <c r="FO109" s="47"/>
      <c r="FP109" s="36"/>
      <c r="FQ109" s="36"/>
      <c r="FR109" s="36"/>
      <c r="FS109" s="36"/>
      <c r="FT109" s="36"/>
      <c r="FU109" s="36"/>
      <c r="FV109" s="36"/>
      <c r="FW109" s="36"/>
      <c r="FX109" s="36"/>
      <c r="FY109" s="36"/>
      <c r="FZ109" s="36"/>
      <c r="GA109" s="36"/>
      <c r="GB109" s="47"/>
      <c r="GC109" s="36">
        <f t="shared" si="372"/>
        <v>426618</v>
      </c>
      <c r="GD109" s="36">
        <f t="shared" si="385"/>
        <v>54495</v>
      </c>
      <c r="GE109" s="36">
        <f t="shared" si="397"/>
        <v>57090</v>
      </c>
      <c r="GF109" s="36">
        <f t="shared" si="408"/>
        <v>60204</v>
      </c>
      <c r="GG109" s="36">
        <f t="shared" si="419"/>
        <v>63318</v>
      </c>
      <c r="GH109" s="36">
        <f t="shared" si="430"/>
        <v>66432</v>
      </c>
      <c r="GI109" s="36">
        <f t="shared" si="441"/>
        <v>70065</v>
      </c>
      <c r="GJ109" s="36">
        <f aca="true" t="shared" si="452" ref="GJ109:GJ117">$I$108*$DB$108</f>
        <v>73698</v>
      </c>
      <c r="GK109" s="36">
        <f>$I$109*$DB$109</f>
        <v>77331</v>
      </c>
      <c r="GL109" s="36"/>
      <c r="GM109" s="36"/>
      <c r="GN109" s="36"/>
      <c r="GO109" s="47"/>
      <c r="GP109" s="36">
        <f>SUM(DC109:GO109)</f>
        <v>21772050</v>
      </c>
      <c r="GQ109" s="38">
        <f>GP109*(1+$E$11)^-14</f>
        <v>10996364.726016087</v>
      </c>
      <c r="GR109" s="38">
        <f t="shared" si="373"/>
        <v>106519440</v>
      </c>
      <c r="GS109" s="52">
        <f t="shared" si="361"/>
        <v>53799555.515029</v>
      </c>
      <c r="GT109" s="9"/>
    </row>
    <row r="110" spans="1:202" ht="15.75">
      <c r="A110" s="9">
        <v>2010</v>
      </c>
      <c r="B110" s="49">
        <v>2017</v>
      </c>
      <c r="C110" s="31">
        <f aca="true" t="shared" si="453" ref="C110:K110">C34</f>
        <v>445</v>
      </c>
      <c r="D110" s="31">
        <f t="shared" si="453"/>
        <v>157</v>
      </c>
      <c r="E110" s="31">
        <f t="shared" si="453"/>
        <v>2129</v>
      </c>
      <c r="F110" s="31">
        <f t="shared" si="453"/>
        <v>710</v>
      </c>
      <c r="G110" s="31">
        <f t="shared" si="453"/>
        <v>339</v>
      </c>
      <c r="H110" s="31">
        <f t="shared" si="453"/>
        <v>113</v>
      </c>
      <c r="I110" s="31">
        <f t="shared" si="453"/>
        <v>157</v>
      </c>
      <c r="J110" s="84">
        <f t="shared" si="453"/>
        <v>3448</v>
      </c>
      <c r="K110" s="86">
        <f t="shared" si="453"/>
        <v>4050</v>
      </c>
      <c r="L110" s="36">
        <f t="shared" si="375"/>
        <v>2020.2</v>
      </c>
      <c r="M110" s="36">
        <f t="shared" si="363"/>
        <v>4292925</v>
      </c>
      <c r="N110" s="36">
        <f t="shared" si="376"/>
        <v>628282.2000000001</v>
      </c>
      <c r="O110" s="36">
        <f t="shared" si="387"/>
        <v>658585.2000000001</v>
      </c>
      <c r="P110" s="36">
        <f t="shared" si="399"/>
        <v>686868</v>
      </c>
      <c r="Q110" s="36">
        <f t="shared" si="410"/>
        <v>719191.2000000001</v>
      </c>
      <c r="R110" s="36">
        <f t="shared" si="421"/>
        <v>751514.4</v>
      </c>
      <c r="S110" s="36">
        <f t="shared" si="432"/>
        <v>785857.8</v>
      </c>
      <c r="T110" s="36">
        <f t="shared" si="443"/>
        <v>822221.4</v>
      </c>
      <c r="U110" s="36">
        <f aca="true" t="shared" si="454" ref="U110:U118">$C$109*$L$109</f>
        <v>860605.2000000001</v>
      </c>
      <c r="V110" s="36">
        <f>$C$110*$L$110</f>
        <v>898989</v>
      </c>
      <c r="W110" s="36"/>
      <c r="X110" s="36"/>
      <c r="Y110" s="47"/>
      <c r="Z110" s="36">
        <f t="shared" si="364"/>
        <v>1777776</v>
      </c>
      <c r="AA110" s="36">
        <f t="shared" si="377"/>
        <v>250504.80000000002</v>
      </c>
      <c r="AB110" s="36">
        <f t="shared" si="388"/>
        <v>258585.6</v>
      </c>
      <c r="AC110" s="36">
        <f t="shared" si="400"/>
        <v>266666.4</v>
      </c>
      <c r="AD110" s="36">
        <f t="shared" si="411"/>
        <v>274747.2</v>
      </c>
      <c r="AE110" s="36">
        <f t="shared" si="422"/>
        <v>282828</v>
      </c>
      <c r="AF110" s="36">
        <f t="shared" si="433"/>
        <v>290908.8</v>
      </c>
      <c r="AG110" s="36">
        <f t="shared" si="444"/>
        <v>298989.60000000003</v>
      </c>
      <c r="AH110" s="36">
        <f aca="true" t="shared" si="455" ref="AH110:AH118">$D$109*$L$109</f>
        <v>309090.60000000003</v>
      </c>
      <c r="AI110" s="36">
        <f>$D$110*$L$110</f>
        <v>317171.4</v>
      </c>
      <c r="AJ110" s="36"/>
      <c r="AK110" s="36"/>
      <c r="AL110" s="47"/>
      <c r="AM110" s="36">
        <f t="shared" si="365"/>
        <v>22549472.400000002</v>
      </c>
      <c r="AN110" s="36">
        <f t="shared" si="378"/>
        <v>2866663.8000000003</v>
      </c>
      <c r="AO110" s="36">
        <f t="shared" si="389"/>
        <v>3016158.6</v>
      </c>
      <c r="AP110" s="36">
        <f t="shared" si="401"/>
        <v>3173734.2</v>
      </c>
      <c r="AQ110" s="36">
        <f t="shared" si="412"/>
        <v>3337370.4</v>
      </c>
      <c r="AR110" s="36">
        <f t="shared" si="423"/>
        <v>3511107.6</v>
      </c>
      <c r="AS110" s="36">
        <f t="shared" si="434"/>
        <v>3694945.8000000003</v>
      </c>
      <c r="AT110" s="36">
        <f t="shared" si="445"/>
        <v>3886864.8000000003</v>
      </c>
      <c r="AU110" s="36">
        <f aca="true" t="shared" si="456" ref="AU110:AU118">$E$109*$L$109</f>
        <v>4088884.8000000003</v>
      </c>
      <c r="AV110" s="36">
        <f>$E$110*$L$110</f>
        <v>4301005.8</v>
      </c>
      <c r="AW110" s="36"/>
      <c r="AX110" s="36"/>
      <c r="AY110" s="47"/>
      <c r="AZ110" s="36">
        <f t="shared" si="366"/>
        <v>7517164.2</v>
      </c>
      <c r="BA110" s="36">
        <f t="shared" si="379"/>
        <v>955554.6</v>
      </c>
      <c r="BB110" s="36">
        <f t="shared" si="390"/>
        <v>1006059.6</v>
      </c>
      <c r="BC110" s="36">
        <f t="shared" si="402"/>
        <v>1058584.8</v>
      </c>
      <c r="BD110" s="36">
        <f t="shared" si="413"/>
        <v>1113130.2</v>
      </c>
      <c r="BE110" s="36">
        <f t="shared" si="424"/>
        <v>1169695.8</v>
      </c>
      <c r="BF110" s="36">
        <f t="shared" si="435"/>
        <v>1232322</v>
      </c>
      <c r="BG110" s="36">
        <f t="shared" si="446"/>
        <v>1294948.2</v>
      </c>
      <c r="BH110" s="36">
        <f aca="true" t="shared" si="457" ref="BH110:BH118">$F$109*$L$109</f>
        <v>1363635</v>
      </c>
      <c r="BI110" s="36">
        <f>$F$110*$L$110</f>
        <v>1434342</v>
      </c>
      <c r="BJ110" s="36"/>
      <c r="BK110" s="36"/>
      <c r="BL110" s="47"/>
      <c r="BM110" s="36"/>
      <c r="BN110" s="36"/>
      <c r="BO110" s="36"/>
      <c r="BP110" s="36"/>
      <c r="BQ110" s="36"/>
      <c r="BR110" s="36"/>
      <c r="BS110" s="36"/>
      <c r="BT110" s="36"/>
      <c r="BU110" s="36"/>
      <c r="BV110" s="36"/>
      <c r="BW110" s="36"/>
      <c r="BX110" s="36"/>
      <c r="BY110" s="47"/>
      <c r="BZ110" s="36"/>
      <c r="CA110" s="36"/>
      <c r="CB110" s="36"/>
      <c r="CC110" s="36"/>
      <c r="CD110" s="36"/>
      <c r="CE110" s="36"/>
      <c r="CF110" s="36"/>
      <c r="CG110" s="36"/>
      <c r="CH110" s="36"/>
      <c r="CI110" s="36"/>
      <c r="CJ110" s="36"/>
      <c r="CK110" s="36"/>
      <c r="CL110" s="47"/>
      <c r="CM110" s="36">
        <f t="shared" si="367"/>
        <v>1660604.4000000001</v>
      </c>
      <c r="CN110" s="36">
        <f t="shared" si="380"/>
        <v>212121</v>
      </c>
      <c r="CO110" s="36">
        <f t="shared" si="391"/>
        <v>222222</v>
      </c>
      <c r="CP110" s="36">
        <f t="shared" si="403"/>
        <v>234343.2</v>
      </c>
      <c r="CQ110" s="36">
        <f t="shared" si="414"/>
        <v>246464.4</v>
      </c>
      <c r="CR110" s="36">
        <f t="shared" si="425"/>
        <v>258585.6</v>
      </c>
      <c r="CS110" s="36">
        <f t="shared" si="436"/>
        <v>272727</v>
      </c>
      <c r="CT110" s="36">
        <f t="shared" si="447"/>
        <v>286868.4</v>
      </c>
      <c r="CU110" s="36">
        <f aca="true" t="shared" si="458" ref="CU110:CU118">$I$109*$L$109</f>
        <v>301009.8</v>
      </c>
      <c r="CV110" s="36">
        <f>$I$110*$L$110</f>
        <v>317171.4</v>
      </c>
      <c r="CW110" s="36"/>
      <c r="CX110" s="36"/>
      <c r="CY110" s="36"/>
      <c r="CZ110" s="36">
        <f t="shared" si="360"/>
        <v>92016069.60000001</v>
      </c>
      <c r="DA110" s="38">
        <f>CZ110*(1+$E$10)^-15</f>
        <v>44261302.77672875</v>
      </c>
      <c r="DB110" s="78">
        <f t="shared" si="392"/>
        <v>519</v>
      </c>
      <c r="DC110" s="36">
        <f t="shared" si="368"/>
        <v>1102875</v>
      </c>
      <c r="DD110" s="36">
        <f t="shared" si="381"/>
        <v>161409</v>
      </c>
      <c r="DE110" s="36">
        <f t="shared" si="393"/>
        <v>169194</v>
      </c>
      <c r="DF110" s="36">
        <f t="shared" si="404"/>
        <v>176460</v>
      </c>
      <c r="DG110" s="36">
        <f t="shared" si="415"/>
        <v>184764</v>
      </c>
      <c r="DH110" s="36">
        <f t="shared" si="426"/>
        <v>193068</v>
      </c>
      <c r="DI110" s="36">
        <f t="shared" si="437"/>
        <v>201891</v>
      </c>
      <c r="DJ110" s="36">
        <f t="shared" si="448"/>
        <v>211233</v>
      </c>
      <c r="DK110" s="36">
        <f aca="true" t="shared" si="459" ref="DK110:DK118">$C$109*$DB$109</f>
        <v>221094</v>
      </c>
      <c r="DL110" s="36">
        <f>$C$110*$DB$110</f>
        <v>230955</v>
      </c>
      <c r="DM110" s="36"/>
      <c r="DN110" s="36"/>
      <c r="DO110" s="47"/>
      <c r="DP110" s="36">
        <f t="shared" si="369"/>
        <v>456720</v>
      </c>
      <c r="DQ110" s="36">
        <f t="shared" si="382"/>
        <v>64356</v>
      </c>
      <c r="DR110" s="36">
        <f t="shared" si="394"/>
        <v>66432</v>
      </c>
      <c r="DS110" s="36">
        <f t="shared" si="405"/>
        <v>68508</v>
      </c>
      <c r="DT110" s="36">
        <f t="shared" si="416"/>
        <v>70584</v>
      </c>
      <c r="DU110" s="36">
        <f t="shared" si="427"/>
        <v>72660</v>
      </c>
      <c r="DV110" s="36">
        <f t="shared" si="438"/>
        <v>74736</v>
      </c>
      <c r="DW110" s="36">
        <f t="shared" si="449"/>
        <v>76812</v>
      </c>
      <c r="DX110" s="36">
        <f aca="true" t="shared" si="460" ref="DX110:DX118">$D$109*$DB$109</f>
        <v>79407</v>
      </c>
      <c r="DY110" s="36">
        <f>$D$110*$DB$110</f>
        <v>81483</v>
      </c>
      <c r="DZ110" s="36"/>
      <c r="EA110" s="36"/>
      <c r="EB110" s="47"/>
      <c r="EC110" s="36">
        <f t="shared" si="370"/>
        <v>5793078</v>
      </c>
      <c r="ED110" s="36">
        <f t="shared" si="383"/>
        <v>736461</v>
      </c>
      <c r="EE110" s="36">
        <f t="shared" si="395"/>
        <v>774867</v>
      </c>
      <c r="EF110" s="36">
        <f t="shared" si="406"/>
        <v>815349</v>
      </c>
      <c r="EG110" s="36">
        <f t="shared" si="417"/>
        <v>857388</v>
      </c>
      <c r="EH110" s="36">
        <f t="shared" si="428"/>
        <v>902022</v>
      </c>
      <c r="EI110" s="36">
        <f t="shared" si="439"/>
        <v>949251</v>
      </c>
      <c r="EJ110" s="36">
        <f t="shared" si="450"/>
        <v>998556</v>
      </c>
      <c r="EK110" s="36">
        <f aca="true" t="shared" si="461" ref="EK110:EK118">$E$109*$DB$109</f>
        <v>1050456</v>
      </c>
      <c r="EL110" s="36">
        <f>$E$110*$DB$110</f>
        <v>1104951</v>
      </c>
      <c r="EM110" s="36"/>
      <c r="EN110" s="36"/>
      <c r="EO110" s="47"/>
      <c r="EP110" s="36">
        <f t="shared" si="371"/>
        <v>1931199</v>
      </c>
      <c r="EQ110" s="36">
        <f t="shared" si="384"/>
        <v>245487</v>
      </c>
      <c r="ER110" s="36">
        <f t="shared" si="396"/>
        <v>258462</v>
      </c>
      <c r="ES110" s="36">
        <f t="shared" si="407"/>
        <v>271956</v>
      </c>
      <c r="ET110" s="36">
        <f t="shared" si="418"/>
        <v>285969</v>
      </c>
      <c r="EU110" s="36">
        <f t="shared" si="429"/>
        <v>300501</v>
      </c>
      <c r="EV110" s="36">
        <f t="shared" si="440"/>
        <v>316590</v>
      </c>
      <c r="EW110" s="36">
        <f t="shared" si="451"/>
        <v>332679</v>
      </c>
      <c r="EX110" s="36">
        <f aca="true" t="shared" si="462" ref="EX110:EX118">$F$109*$DB$109</f>
        <v>350325</v>
      </c>
      <c r="EY110" s="36">
        <f>$F$110*$DB$110</f>
        <v>368490</v>
      </c>
      <c r="EZ110" s="36"/>
      <c r="FA110" s="36"/>
      <c r="FB110" s="47"/>
      <c r="FC110" s="36"/>
      <c r="FD110" s="36"/>
      <c r="FE110" s="36"/>
      <c r="FF110" s="36"/>
      <c r="FG110" s="36"/>
      <c r="FH110" s="36"/>
      <c r="FI110" s="36"/>
      <c r="FJ110" s="36"/>
      <c r="FK110" s="36"/>
      <c r="FL110" s="36"/>
      <c r="FM110" s="36"/>
      <c r="FN110" s="36"/>
      <c r="FO110" s="47"/>
      <c r="FP110" s="36"/>
      <c r="FQ110" s="36"/>
      <c r="FR110" s="36"/>
      <c r="FS110" s="36"/>
      <c r="FT110" s="36"/>
      <c r="FU110" s="36"/>
      <c r="FV110" s="36"/>
      <c r="FW110" s="36"/>
      <c r="FX110" s="36"/>
      <c r="FY110" s="36"/>
      <c r="FZ110" s="36"/>
      <c r="GA110" s="36"/>
      <c r="GB110" s="47"/>
      <c r="GC110" s="36">
        <f t="shared" si="372"/>
        <v>426618</v>
      </c>
      <c r="GD110" s="36">
        <f t="shared" si="385"/>
        <v>54495</v>
      </c>
      <c r="GE110" s="36">
        <f t="shared" si="397"/>
        <v>57090</v>
      </c>
      <c r="GF110" s="36">
        <f t="shared" si="408"/>
        <v>60204</v>
      </c>
      <c r="GG110" s="36">
        <f t="shared" si="419"/>
        <v>63318</v>
      </c>
      <c r="GH110" s="36">
        <f t="shared" si="430"/>
        <v>66432</v>
      </c>
      <c r="GI110" s="36">
        <f t="shared" si="441"/>
        <v>70065</v>
      </c>
      <c r="GJ110" s="36">
        <f t="shared" si="452"/>
        <v>73698</v>
      </c>
      <c r="GK110" s="36">
        <f aca="true" t="shared" si="463" ref="GK110:GK118">$I$109*$DB$109</f>
        <v>77331</v>
      </c>
      <c r="GL110" s="36">
        <f>$I$110*$DB$110</f>
        <v>81483</v>
      </c>
      <c r="GM110" s="36"/>
      <c r="GN110" s="36"/>
      <c r="GO110" s="47"/>
      <c r="GP110" s="36">
        <f>SUM(DC110:GO110)</f>
        <v>23639412</v>
      </c>
      <c r="GQ110" s="38">
        <f>GP110*(1+$E$11)^-15</f>
        <v>11370961.360816859</v>
      </c>
      <c r="GR110" s="38">
        <f t="shared" si="373"/>
        <v>115655481.60000001</v>
      </c>
      <c r="GS110" s="52">
        <f t="shared" si="361"/>
        <v>55632264.13754561</v>
      </c>
      <c r="GT110" s="9"/>
    </row>
    <row r="111" spans="1:202" ht="15.75">
      <c r="A111" s="9">
        <v>2011</v>
      </c>
      <c r="B111" s="49">
        <v>2018</v>
      </c>
      <c r="C111" s="31">
        <f aca="true" t="shared" si="464" ref="C111:K111">C35</f>
        <v>465</v>
      </c>
      <c r="D111" s="31">
        <f t="shared" si="464"/>
        <v>162</v>
      </c>
      <c r="E111" s="31">
        <f t="shared" si="464"/>
        <v>2240</v>
      </c>
      <c r="F111" s="31">
        <f t="shared" si="464"/>
        <v>747</v>
      </c>
      <c r="G111" s="31">
        <f t="shared" si="464"/>
        <v>374</v>
      </c>
      <c r="H111" s="31">
        <f t="shared" si="464"/>
        <v>125</v>
      </c>
      <c r="I111" s="31">
        <f t="shared" si="464"/>
        <v>165</v>
      </c>
      <c r="J111" s="84">
        <f t="shared" si="464"/>
        <v>3651</v>
      </c>
      <c r="K111" s="86">
        <f t="shared" si="464"/>
        <v>4278</v>
      </c>
      <c r="L111" s="36">
        <f t="shared" si="375"/>
        <v>2020.2</v>
      </c>
      <c r="M111" s="36"/>
      <c r="N111" s="36">
        <f t="shared" si="376"/>
        <v>628282.2000000001</v>
      </c>
      <c r="O111" s="36">
        <f t="shared" si="387"/>
        <v>658585.2000000001</v>
      </c>
      <c r="P111" s="36">
        <f t="shared" si="399"/>
        <v>686868</v>
      </c>
      <c r="Q111" s="36">
        <f t="shared" si="410"/>
        <v>719191.2000000001</v>
      </c>
      <c r="R111" s="36">
        <f t="shared" si="421"/>
        <v>751514.4</v>
      </c>
      <c r="S111" s="36">
        <f t="shared" si="432"/>
        <v>785857.8</v>
      </c>
      <c r="T111" s="36">
        <f t="shared" si="443"/>
        <v>822221.4</v>
      </c>
      <c r="U111" s="36">
        <f t="shared" si="454"/>
        <v>860605.2000000001</v>
      </c>
      <c r="V111" s="36">
        <f aca="true" t="shared" si="465" ref="V111:V119">$C$110*$L$110</f>
        <v>898989</v>
      </c>
      <c r="W111" s="36">
        <f>$C$111*$L$111</f>
        <v>939393</v>
      </c>
      <c r="X111" s="36"/>
      <c r="Y111" s="47"/>
      <c r="Z111" s="36"/>
      <c r="AA111" s="36">
        <f t="shared" si="377"/>
        <v>250504.80000000002</v>
      </c>
      <c r="AB111" s="36">
        <f t="shared" si="388"/>
        <v>258585.6</v>
      </c>
      <c r="AC111" s="36">
        <f t="shared" si="400"/>
        <v>266666.4</v>
      </c>
      <c r="AD111" s="36">
        <f t="shared" si="411"/>
        <v>274747.2</v>
      </c>
      <c r="AE111" s="36">
        <f t="shared" si="422"/>
        <v>282828</v>
      </c>
      <c r="AF111" s="36">
        <f t="shared" si="433"/>
        <v>290908.8</v>
      </c>
      <c r="AG111" s="36">
        <f t="shared" si="444"/>
        <v>298989.60000000003</v>
      </c>
      <c r="AH111" s="36">
        <f t="shared" si="455"/>
        <v>309090.60000000003</v>
      </c>
      <c r="AI111" s="36">
        <f aca="true" t="shared" si="466" ref="AI111:AI119">$D$110*$L$110</f>
        <v>317171.4</v>
      </c>
      <c r="AJ111" s="36">
        <f>$D$111*$L$111</f>
        <v>327272.4</v>
      </c>
      <c r="AK111" s="36"/>
      <c r="AL111" s="47"/>
      <c r="AM111" s="36"/>
      <c r="AN111" s="36">
        <f t="shared" si="378"/>
        <v>2866663.8000000003</v>
      </c>
      <c r="AO111" s="36">
        <f t="shared" si="389"/>
        <v>3016158.6</v>
      </c>
      <c r="AP111" s="36">
        <f t="shared" si="401"/>
        <v>3173734.2</v>
      </c>
      <c r="AQ111" s="36">
        <f t="shared" si="412"/>
        <v>3337370.4</v>
      </c>
      <c r="AR111" s="36">
        <f t="shared" si="423"/>
        <v>3511107.6</v>
      </c>
      <c r="AS111" s="36">
        <f t="shared" si="434"/>
        <v>3694945.8000000003</v>
      </c>
      <c r="AT111" s="36">
        <f t="shared" si="445"/>
        <v>3886864.8000000003</v>
      </c>
      <c r="AU111" s="36">
        <f t="shared" si="456"/>
        <v>4088884.8000000003</v>
      </c>
      <c r="AV111" s="36">
        <f aca="true" t="shared" si="467" ref="AV111:AV119">$E$110*$L$110</f>
        <v>4301005.8</v>
      </c>
      <c r="AW111" s="36">
        <f>$E$111*$L$111</f>
        <v>4525248</v>
      </c>
      <c r="AX111" s="36"/>
      <c r="AY111" s="47"/>
      <c r="AZ111" s="36"/>
      <c r="BA111" s="36">
        <f t="shared" si="379"/>
        <v>955554.6</v>
      </c>
      <c r="BB111" s="36">
        <f t="shared" si="390"/>
        <v>1006059.6</v>
      </c>
      <c r="BC111" s="36">
        <f t="shared" si="402"/>
        <v>1058584.8</v>
      </c>
      <c r="BD111" s="36">
        <f t="shared" si="413"/>
        <v>1113130.2</v>
      </c>
      <c r="BE111" s="36">
        <f t="shared" si="424"/>
        <v>1169695.8</v>
      </c>
      <c r="BF111" s="36">
        <f t="shared" si="435"/>
        <v>1232322</v>
      </c>
      <c r="BG111" s="36">
        <f t="shared" si="446"/>
        <v>1294948.2</v>
      </c>
      <c r="BH111" s="36">
        <f t="shared" si="457"/>
        <v>1363635</v>
      </c>
      <c r="BI111" s="36">
        <f aca="true" t="shared" si="468" ref="BI111:BI119">$F$110*$L$110</f>
        <v>1434342</v>
      </c>
      <c r="BJ111" s="36">
        <f>$F$111*$L$111</f>
        <v>1509089.4000000001</v>
      </c>
      <c r="BK111" s="36"/>
      <c r="BL111" s="47"/>
      <c r="BM111" s="36"/>
      <c r="BN111" s="36"/>
      <c r="BO111" s="36"/>
      <c r="BP111" s="36"/>
      <c r="BQ111" s="36"/>
      <c r="BR111" s="36"/>
      <c r="BS111" s="36"/>
      <c r="BT111" s="36"/>
      <c r="BU111" s="36"/>
      <c r="BV111" s="36"/>
      <c r="BW111" s="36"/>
      <c r="BX111" s="36"/>
      <c r="BY111" s="47"/>
      <c r="BZ111" s="36"/>
      <c r="CA111" s="36"/>
      <c r="CB111" s="36"/>
      <c r="CC111" s="36"/>
      <c r="CD111" s="36"/>
      <c r="CE111" s="36"/>
      <c r="CF111" s="36"/>
      <c r="CG111" s="36"/>
      <c r="CH111" s="36"/>
      <c r="CI111" s="36"/>
      <c r="CJ111" s="36"/>
      <c r="CK111" s="36"/>
      <c r="CL111" s="47"/>
      <c r="CM111" s="36"/>
      <c r="CN111" s="36">
        <f t="shared" si="380"/>
        <v>212121</v>
      </c>
      <c r="CO111" s="36">
        <f t="shared" si="391"/>
        <v>222222</v>
      </c>
      <c r="CP111" s="36">
        <f t="shared" si="403"/>
        <v>234343.2</v>
      </c>
      <c r="CQ111" s="36">
        <f t="shared" si="414"/>
        <v>246464.4</v>
      </c>
      <c r="CR111" s="36">
        <f t="shared" si="425"/>
        <v>258585.6</v>
      </c>
      <c r="CS111" s="36">
        <f t="shared" si="436"/>
        <v>272727</v>
      </c>
      <c r="CT111" s="36">
        <f t="shared" si="447"/>
        <v>286868.4</v>
      </c>
      <c r="CU111" s="36">
        <f t="shared" si="458"/>
        <v>301009.8</v>
      </c>
      <c r="CV111" s="36">
        <f aca="true" t="shared" si="469" ref="CV111:CV119">$I$110*$L$110</f>
        <v>317171.4</v>
      </c>
      <c r="CW111" s="36">
        <f>$I$111*$L$111</f>
        <v>333333</v>
      </c>
      <c r="CX111" s="36"/>
      <c r="CY111" s="36"/>
      <c r="CZ111" s="36">
        <f t="shared" si="360"/>
        <v>61852463.39999999</v>
      </c>
      <c r="DA111" s="38">
        <f>CZ111*(1+$E$10)^-16</f>
        <v>28335326.147091374</v>
      </c>
      <c r="DB111" s="78">
        <f t="shared" si="392"/>
        <v>519</v>
      </c>
      <c r="DC111" s="36"/>
      <c r="DD111" s="36">
        <f t="shared" si="381"/>
        <v>161409</v>
      </c>
      <c r="DE111" s="36">
        <f t="shared" si="393"/>
        <v>169194</v>
      </c>
      <c r="DF111" s="36">
        <f t="shared" si="404"/>
        <v>176460</v>
      </c>
      <c r="DG111" s="36">
        <f t="shared" si="415"/>
        <v>184764</v>
      </c>
      <c r="DH111" s="36">
        <f t="shared" si="426"/>
        <v>193068</v>
      </c>
      <c r="DI111" s="36">
        <f t="shared" si="437"/>
        <v>201891</v>
      </c>
      <c r="DJ111" s="36">
        <f t="shared" si="448"/>
        <v>211233</v>
      </c>
      <c r="DK111" s="36">
        <f t="shared" si="459"/>
        <v>221094</v>
      </c>
      <c r="DL111" s="36">
        <f aca="true" t="shared" si="470" ref="DL111:DL119">$C$110*$DB$110</f>
        <v>230955</v>
      </c>
      <c r="DM111" s="36">
        <f aca="true" t="shared" si="471" ref="DM111:DM120">$C$111*$DB$111</f>
        <v>241335</v>
      </c>
      <c r="DN111" s="36"/>
      <c r="DO111" s="47"/>
      <c r="DP111" s="36"/>
      <c r="DQ111" s="36">
        <f t="shared" si="382"/>
        <v>64356</v>
      </c>
      <c r="DR111" s="36">
        <f t="shared" si="394"/>
        <v>66432</v>
      </c>
      <c r="DS111" s="36">
        <f t="shared" si="405"/>
        <v>68508</v>
      </c>
      <c r="DT111" s="36">
        <f t="shared" si="416"/>
        <v>70584</v>
      </c>
      <c r="DU111" s="36">
        <f t="shared" si="427"/>
        <v>72660</v>
      </c>
      <c r="DV111" s="36">
        <f t="shared" si="438"/>
        <v>74736</v>
      </c>
      <c r="DW111" s="36">
        <f t="shared" si="449"/>
        <v>76812</v>
      </c>
      <c r="DX111" s="36">
        <f t="shared" si="460"/>
        <v>79407</v>
      </c>
      <c r="DY111" s="36">
        <f aca="true" t="shared" si="472" ref="DY111:DY119">$D$110*$DB$110</f>
        <v>81483</v>
      </c>
      <c r="DZ111" s="36">
        <f>$D$111*$DB$111</f>
        <v>84078</v>
      </c>
      <c r="EA111" s="36"/>
      <c r="EB111" s="47"/>
      <c r="EC111" s="36"/>
      <c r="ED111" s="36">
        <f t="shared" si="383"/>
        <v>736461</v>
      </c>
      <c r="EE111" s="36">
        <f t="shared" si="395"/>
        <v>774867</v>
      </c>
      <c r="EF111" s="36">
        <f t="shared" si="406"/>
        <v>815349</v>
      </c>
      <c r="EG111" s="36">
        <f t="shared" si="417"/>
        <v>857388</v>
      </c>
      <c r="EH111" s="36">
        <f t="shared" si="428"/>
        <v>902022</v>
      </c>
      <c r="EI111" s="36">
        <f t="shared" si="439"/>
        <v>949251</v>
      </c>
      <c r="EJ111" s="36">
        <f t="shared" si="450"/>
        <v>998556</v>
      </c>
      <c r="EK111" s="36">
        <f t="shared" si="461"/>
        <v>1050456</v>
      </c>
      <c r="EL111" s="36">
        <f aca="true" t="shared" si="473" ref="EL111:EL119">$E$110*$DB$110</f>
        <v>1104951</v>
      </c>
      <c r="EM111" s="36">
        <f>$E$111*$DB$111</f>
        <v>1162560</v>
      </c>
      <c r="EN111" s="36"/>
      <c r="EO111" s="47"/>
      <c r="EP111" s="36"/>
      <c r="EQ111" s="36">
        <f t="shared" si="384"/>
        <v>245487</v>
      </c>
      <c r="ER111" s="36">
        <f t="shared" si="396"/>
        <v>258462</v>
      </c>
      <c r="ES111" s="36">
        <f t="shared" si="407"/>
        <v>271956</v>
      </c>
      <c r="ET111" s="36">
        <f t="shared" si="418"/>
        <v>285969</v>
      </c>
      <c r="EU111" s="36">
        <f t="shared" si="429"/>
        <v>300501</v>
      </c>
      <c r="EV111" s="36">
        <f t="shared" si="440"/>
        <v>316590</v>
      </c>
      <c r="EW111" s="36">
        <f t="shared" si="451"/>
        <v>332679</v>
      </c>
      <c r="EX111" s="36">
        <f t="shared" si="462"/>
        <v>350325</v>
      </c>
      <c r="EY111" s="36">
        <f aca="true" t="shared" si="474" ref="EY111:EY119">$F$110*$DB$110</f>
        <v>368490</v>
      </c>
      <c r="EZ111" s="36">
        <f>$F$111*$DB$111</f>
        <v>387693</v>
      </c>
      <c r="FA111" s="36"/>
      <c r="FB111" s="47"/>
      <c r="FC111" s="36"/>
      <c r="FD111" s="36"/>
      <c r="FE111" s="36"/>
      <c r="FF111" s="36"/>
      <c r="FG111" s="36"/>
      <c r="FH111" s="36"/>
      <c r="FI111" s="36"/>
      <c r="FJ111" s="36"/>
      <c r="FK111" s="36"/>
      <c r="FL111" s="36"/>
      <c r="FM111" s="36"/>
      <c r="FN111" s="36"/>
      <c r="FO111" s="47"/>
      <c r="FP111" s="36"/>
      <c r="FQ111" s="36"/>
      <c r="FR111" s="36"/>
      <c r="FS111" s="36"/>
      <c r="FT111" s="36"/>
      <c r="FU111" s="36"/>
      <c r="FV111" s="36"/>
      <c r="FW111" s="36"/>
      <c r="FX111" s="36"/>
      <c r="FY111" s="36"/>
      <c r="FZ111" s="36"/>
      <c r="GA111" s="36"/>
      <c r="GB111" s="47"/>
      <c r="GC111" s="36"/>
      <c r="GD111" s="36">
        <f t="shared" si="385"/>
        <v>54495</v>
      </c>
      <c r="GE111" s="36">
        <f t="shared" si="397"/>
        <v>57090</v>
      </c>
      <c r="GF111" s="36">
        <f t="shared" si="408"/>
        <v>60204</v>
      </c>
      <c r="GG111" s="36">
        <f t="shared" si="419"/>
        <v>63318</v>
      </c>
      <c r="GH111" s="36">
        <f t="shared" si="430"/>
        <v>66432</v>
      </c>
      <c r="GI111" s="36">
        <f t="shared" si="441"/>
        <v>70065</v>
      </c>
      <c r="GJ111" s="36">
        <f t="shared" si="452"/>
        <v>73698</v>
      </c>
      <c r="GK111" s="36">
        <f t="shared" si="463"/>
        <v>77331</v>
      </c>
      <c r="GL111" s="36">
        <f aca="true" t="shared" si="475" ref="GL111:GL119">$I$110*$DB$110</f>
        <v>81483</v>
      </c>
      <c r="GM111" s="36">
        <f>$I$111*$DB$111</f>
        <v>85635</v>
      </c>
      <c r="GN111" s="36"/>
      <c r="GO111" s="47"/>
      <c r="GP111" s="36">
        <f>SUM(DC111:GO111)</f>
        <v>15890223</v>
      </c>
      <c r="GQ111" s="38">
        <f>GP111*(1+$E$11)^-16</f>
        <v>7279494.243312754</v>
      </c>
      <c r="GR111" s="38">
        <f t="shared" si="373"/>
        <v>77742686.39999999</v>
      </c>
      <c r="GS111" s="52">
        <f t="shared" si="361"/>
        <v>35614820.39040413</v>
      </c>
      <c r="GT111" s="9"/>
    </row>
    <row r="112" spans="1:202" ht="15.75">
      <c r="A112" s="9">
        <v>2012</v>
      </c>
      <c r="B112" s="49">
        <v>2019</v>
      </c>
      <c r="C112" s="31">
        <f aca="true" t="shared" si="476" ref="C112:K112">C36</f>
        <v>486</v>
      </c>
      <c r="D112" s="31">
        <f t="shared" si="476"/>
        <v>167</v>
      </c>
      <c r="E112" s="31">
        <f t="shared" si="476"/>
        <v>2356</v>
      </c>
      <c r="F112" s="31">
        <f t="shared" si="476"/>
        <v>785</v>
      </c>
      <c r="G112" s="31">
        <f t="shared" si="476"/>
        <v>412</v>
      </c>
      <c r="H112" s="31">
        <f t="shared" si="476"/>
        <v>137</v>
      </c>
      <c r="I112" s="31">
        <f t="shared" si="476"/>
        <v>174</v>
      </c>
      <c r="J112" s="84">
        <f t="shared" si="476"/>
        <v>3864</v>
      </c>
      <c r="K112" s="86">
        <f t="shared" si="476"/>
        <v>4517</v>
      </c>
      <c r="L112" s="36">
        <f t="shared" si="375"/>
        <v>2020.2</v>
      </c>
      <c r="M112" s="36"/>
      <c r="N112" s="36"/>
      <c r="O112" s="36">
        <f t="shared" si="387"/>
        <v>658585.2000000001</v>
      </c>
      <c r="P112" s="36">
        <f t="shared" si="399"/>
        <v>686868</v>
      </c>
      <c r="Q112" s="36">
        <f t="shared" si="410"/>
        <v>719191.2000000001</v>
      </c>
      <c r="R112" s="36">
        <f t="shared" si="421"/>
        <v>751514.4</v>
      </c>
      <c r="S112" s="36">
        <f t="shared" si="432"/>
        <v>785857.8</v>
      </c>
      <c r="T112" s="36">
        <f t="shared" si="443"/>
        <v>822221.4</v>
      </c>
      <c r="U112" s="36">
        <f t="shared" si="454"/>
        <v>860605.2000000001</v>
      </c>
      <c r="V112" s="36">
        <f t="shared" si="465"/>
        <v>898989</v>
      </c>
      <c r="W112" s="36">
        <f aca="true" t="shared" si="477" ref="W112:W120">$C$111*$L$111</f>
        <v>939393</v>
      </c>
      <c r="X112" s="36">
        <f>$C$112*$L$112</f>
        <v>981817.2000000001</v>
      </c>
      <c r="Y112" s="47"/>
      <c r="Z112" s="36"/>
      <c r="AA112" s="36"/>
      <c r="AB112" s="36">
        <f t="shared" si="388"/>
        <v>258585.6</v>
      </c>
      <c r="AC112" s="36">
        <f t="shared" si="400"/>
        <v>266666.4</v>
      </c>
      <c r="AD112" s="36">
        <f t="shared" si="411"/>
        <v>274747.2</v>
      </c>
      <c r="AE112" s="36">
        <f t="shared" si="422"/>
        <v>282828</v>
      </c>
      <c r="AF112" s="36">
        <f t="shared" si="433"/>
        <v>290908.8</v>
      </c>
      <c r="AG112" s="36">
        <f t="shared" si="444"/>
        <v>298989.60000000003</v>
      </c>
      <c r="AH112" s="36">
        <f t="shared" si="455"/>
        <v>309090.60000000003</v>
      </c>
      <c r="AI112" s="36">
        <f t="shared" si="466"/>
        <v>317171.4</v>
      </c>
      <c r="AJ112" s="36">
        <f aca="true" t="shared" si="478" ref="AJ112:AJ120">$D$111*$L$111</f>
        <v>327272.4</v>
      </c>
      <c r="AK112" s="36">
        <f>$D$112*$L$112</f>
        <v>337373.4</v>
      </c>
      <c r="AL112" s="47"/>
      <c r="AM112" s="36"/>
      <c r="AN112" s="36"/>
      <c r="AO112" s="36">
        <f t="shared" si="389"/>
        <v>3016158.6</v>
      </c>
      <c r="AP112" s="36">
        <f t="shared" si="401"/>
        <v>3173734.2</v>
      </c>
      <c r="AQ112" s="36">
        <f t="shared" si="412"/>
        <v>3337370.4</v>
      </c>
      <c r="AR112" s="36">
        <f t="shared" si="423"/>
        <v>3511107.6</v>
      </c>
      <c r="AS112" s="36">
        <f t="shared" si="434"/>
        <v>3694945.8000000003</v>
      </c>
      <c r="AT112" s="36">
        <f t="shared" si="445"/>
        <v>3886864.8000000003</v>
      </c>
      <c r="AU112" s="36">
        <f t="shared" si="456"/>
        <v>4088884.8000000003</v>
      </c>
      <c r="AV112" s="36">
        <f t="shared" si="467"/>
        <v>4301005.8</v>
      </c>
      <c r="AW112" s="36">
        <f aca="true" t="shared" si="479" ref="AW112:AW120">$E$111*$L$111</f>
        <v>4525248</v>
      </c>
      <c r="AX112" s="36">
        <f>$E$112*$L$112</f>
        <v>4759591.2</v>
      </c>
      <c r="AY112" s="47"/>
      <c r="AZ112" s="36"/>
      <c r="BA112" s="36"/>
      <c r="BB112" s="36">
        <f t="shared" si="390"/>
        <v>1006059.6</v>
      </c>
      <c r="BC112" s="36">
        <f t="shared" si="402"/>
        <v>1058584.8</v>
      </c>
      <c r="BD112" s="36">
        <f t="shared" si="413"/>
        <v>1113130.2</v>
      </c>
      <c r="BE112" s="36">
        <f t="shared" si="424"/>
        <v>1169695.8</v>
      </c>
      <c r="BF112" s="36">
        <f t="shared" si="435"/>
        <v>1232322</v>
      </c>
      <c r="BG112" s="36">
        <f t="shared" si="446"/>
        <v>1294948.2</v>
      </c>
      <c r="BH112" s="36">
        <f t="shared" si="457"/>
        <v>1363635</v>
      </c>
      <c r="BI112" s="36">
        <f t="shared" si="468"/>
        <v>1434342</v>
      </c>
      <c r="BJ112" s="36">
        <f aca="true" t="shared" si="480" ref="BJ112:BJ120">$F$111*$L$111</f>
        <v>1509089.4000000001</v>
      </c>
      <c r="BK112" s="36">
        <f>$F$112*$L$112</f>
        <v>1585857</v>
      </c>
      <c r="BL112" s="47"/>
      <c r="BM112" s="36"/>
      <c r="BN112" s="36"/>
      <c r="BO112" s="36"/>
      <c r="BP112" s="36"/>
      <c r="BQ112" s="36"/>
      <c r="BR112" s="36"/>
      <c r="BS112" s="36"/>
      <c r="BT112" s="36"/>
      <c r="BU112" s="36"/>
      <c r="BV112" s="36"/>
      <c r="BW112" s="36"/>
      <c r="BX112" s="36"/>
      <c r="BY112" s="47"/>
      <c r="BZ112" s="36"/>
      <c r="CA112" s="36"/>
      <c r="CB112" s="36"/>
      <c r="CC112" s="36"/>
      <c r="CD112" s="36"/>
      <c r="CE112" s="36"/>
      <c r="CF112" s="36"/>
      <c r="CG112" s="36"/>
      <c r="CH112" s="36"/>
      <c r="CI112" s="36"/>
      <c r="CJ112" s="36"/>
      <c r="CK112" s="36"/>
      <c r="CL112" s="47"/>
      <c r="CM112" s="36"/>
      <c r="CN112" s="36"/>
      <c r="CO112" s="36">
        <f t="shared" si="391"/>
        <v>222222</v>
      </c>
      <c r="CP112" s="36">
        <f t="shared" si="403"/>
        <v>234343.2</v>
      </c>
      <c r="CQ112" s="36">
        <f t="shared" si="414"/>
        <v>246464.4</v>
      </c>
      <c r="CR112" s="36">
        <f t="shared" si="425"/>
        <v>258585.6</v>
      </c>
      <c r="CS112" s="36">
        <f t="shared" si="436"/>
        <v>272727</v>
      </c>
      <c r="CT112" s="36">
        <f t="shared" si="447"/>
        <v>286868.4</v>
      </c>
      <c r="CU112" s="36">
        <f t="shared" si="458"/>
        <v>301009.8</v>
      </c>
      <c r="CV112" s="36">
        <f t="shared" si="469"/>
        <v>317171.4</v>
      </c>
      <c r="CW112" s="36">
        <f aca="true" t="shared" si="481" ref="CW112:CW120">$I$111*$L$111</f>
        <v>333333</v>
      </c>
      <c r="CX112" s="36">
        <f>$I$112*$L$112</f>
        <v>351514.8</v>
      </c>
      <c r="CY112" s="36"/>
      <c r="CZ112" s="36">
        <f t="shared" si="360"/>
        <v>64955490.599999994</v>
      </c>
      <c r="DA112" s="38">
        <f>CZ112*(1+$E$10)^-17</f>
        <v>28339865.390918173</v>
      </c>
      <c r="DB112" s="78">
        <f t="shared" si="392"/>
        <v>519</v>
      </c>
      <c r="DC112" s="36"/>
      <c r="DD112" s="36"/>
      <c r="DE112" s="36">
        <f t="shared" si="393"/>
        <v>169194</v>
      </c>
      <c r="DF112" s="36">
        <f t="shared" si="404"/>
        <v>176460</v>
      </c>
      <c r="DG112" s="36">
        <f t="shared" si="415"/>
        <v>184764</v>
      </c>
      <c r="DH112" s="36">
        <f t="shared" si="426"/>
        <v>193068</v>
      </c>
      <c r="DI112" s="36">
        <f t="shared" si="437"/>
        <v>201891</v>
      </c>
      <c r="DJ112" s="36">
        <f t="shared" si="448"/>
        <v>211233</v>
      </c>
      <c r="DK112" s="36">
        <f t="shared" si="459"/>
        <v>221094</v>
      </c>
      <c r="DL112" s="36">
        <f t="shared" si="470"/>
        <v>230955</v>
      </c>
      <c r="DM112" s="36">
        <f t="shared" si="471"/>
        <v>241335</v>
      </c>
      <c r="DN112" s="36">
        <f>$C$112*$DB$112</f>
        <v>252234</v>
      </c>
      <c r="DO112" s="47"/>
      <c r="DP112" s="36"/>
      <c r="DQ112" s="36"/>
      <c r="DR112" s="36">
        <f t="shared" si="394"/>
        <v>66432</v>
      </c>
      <c r="DS112" s="36">
        <f t="shared" si="405"/>
        <v>68508</v>
      </c>
      <c r="DT112" s="36">
        <f t="shared" si="416"/>
        <v>70584</v>
      </c>
      <c r="DU112" s="36">
        <f t="shared" si="427"/>
        <v>72660</v>
      </c>
      <c r="DV112" s="36">
        <f t="shared" si="438"/>
        <v>74736</v>
      </c>
      <c r="DW112" s="36">
        <f t="shared" si="449"/>
        <v>76812</v>
      </c>
      <c r="DX112" s="36">
        <f t="shared" si="460"/>
        <v>79407</v>
      </c>
      <c r="DY112" s="36">
        <f t="shared" si="472"/>
        <v>81483</v>
      </c>
      <c r="DZ112" s="36">
        <f aca="true" t="shared" si="482" ref="DZ112:DZ120">$D$111*$DB$111</f>
        <v>84078</v>
      </c>
      <c r="EA112" s="36">
        <f>$D$112*$DB$112</f>
        <v>86673</v>
      </c>
      <c r="EB112" s="47"/>
      <c r="EC112" s="36"/>
      <c r="ED112" s="36"/>
      <c r="EE112" s="36">
        <f t="shared" si="395"/>
        <v>774867</v>
      </c>
      <c r="EF112" s="36">
        <f t="shared" si="406"/>
        <v>815349</v>
      </c>
      <c r="EG112" s="36">
        <f t="shared" si="417"/>
        <v>857388</v>
      </c>
      <c r="EH112" s="36">
        <f t="shared" si="428"/>
        <v>902022</v>
      </c>
      <c r="EI112" s="36">
        <f t="shared" si="439"/>
        <v>949251</v>
      </c>
      <c r="EJ112" s="36">
        <f t="shared" si="450"/>
        <v>998556</v>
      </c>
      <c r="EK112" s="36">
        <f t="shared" si="461"/>
        <v>1050456</v>
      </c>
      <c r="EL112" s="36">
        <f t="shared" si="473"/>
        <v>1104951</v>
      </c>
      <c r="EM112" s="36">
        <f aca="true" t="shared" si="483" ref="EM112:EM120">$E$111*$DB$111</f>
        <v>1162560</v>
      </c>
      <c r="EN112" s="36">
        <f>$E$112*$DB$112</f>
        <v>1222764</v>
      </c>
      <c r="EO112" s="47"/>
      <c r="EP112" s="36"/>
      <c r="EQ112" s="36"/>
      <c r="ER112" s="36">
        <f t="shared" si="396"/>
        <v>258462</v>
      </c>
      <c r="ES112" s="36">
        <f t="shared" si="407"/>
        <v>271956</v>
      </c>
      <c r="ET112" s="36">
        <f t="shared" si="418"/>
        <v>285969</v>
      </c>
      <c r="EU112" s="36">
        <f t="shared" si="429"/>
        <v>300501</v>
      </c>
      <c r="EV112" s="36">
        <f t="shared" si="440"/>
        <v>316590</v>
      </c>
      <c r="EW112" s="36">
        <f t="shared" si="451"/>
        <v>332679</v>
      </c>
      <c r="EX112" s="36">
        <f t="shared" si="462"/>
        <v>350325</v>
      </c>
      <c r="EY112" s="36">
        <f t="shared" si="474"/>
        <v>368490</v>
      </c>
      <c r="EZ112" s="36">
        <f aca="true" t="shared" si="484" ref="EZ112:EZ120">$F$111*$DB$111</f>
        <v>387693</v>
      </c>
      <c r="FA112" s="36">
        <f>$F$112*$DB$112</f>
        <v>407415</v>
      </c>
      <c r="FB112" s="47"/>
      <c r="FC112" s="36"/>
      <c r="FD112" s="36"/>
      <c r="FE112" s="36"/>
      <c r="FF112" s="36"/>
      <c r="FG112" s="36"/>
      <c r="FH112" s="36"/>
      <c r="FI112" s="36"/>
      <c r="FJ112" s="36"/>
      <c r="FK112" s="36"/>
      <c r="FL112" s="36"/>
      <c r="FM112" s="36"/>
      <c r="FN112" s="36"/>
      <c r="FO112" s="47"/>
      <c r="FP112" s="36"/>
      <c r="FQ112" s="36"/>
      <c r="FR112" s="36"/>
      <c r="FS112" s="36"/>
      <c r="FT112" s="36"/>
      <c r="FU112" s="36"/>
      <c r="FV112" s="36"/>
      <c r="FW112" s="36"/>
      <c r="FX112" s="36"/>
      <c r="FY112" s="36"/>
      <c r="FZ112" s="36"/>
      <c r="GA112" s="36"/>
      <c r="GB112" s="47"/>
      <c r="GC112" s="36"/>
      <c r="GD112" s="36"/>
      <c r="GE112" s="36">
        <f t="shared" si="397"/>
        <v>57090</v>
      </c>
      <c r="GF112" s="36">
        <f t="shared" si="408"/>
        <v>60204</v>
      </c>
      <c r="GG112" s="36">
        <f t="shared" si="419"/>
        <v>63318</v>
      </c>
      <c r="GH112" s="36">
        <f t="shared" si="430"/>
        <v>66432</v>
      </c>
      <c r="GI112" s="36">
        <f t="shared" si="441"/>
        <v>70065</v>
      </c>
      <c r="GJ112" s="36">
        <f t="shared" si="452"/>
        <v>73698</v>
      </c>
      <c r="GK112" s="36">
        <f t="shared" si="463"/>
        <v>77331</v>
      </c>
      <c r="GL112" s="36">
        <f t="shared" si="475"/>
        <v>81483</v>
      </c>
      <c r="GM112" s="36">
        <f aca="true" t="shared" si="485" ref="GM112:GM120">$I$111*$DB$111</f>
        <v>85635</v>
      </c>
      <c r="GN112" s="36">
        <f>$I$112*$DB$112</f>
        <v>90306</v>
      </c>
      <c r="GO112" s="47"/>
      <c r="GP112" s="36">
        <f>SUM(DC112:GO112)</f>
        <v>16687407</v>
      </c>
      <c r="GQ112" s="38">
        <f>GP112*(1+$E$11)^-17</f>
        <v>7280660.398914233</v>
      </c>
      <c r="GR112" s="38">
        <f t="shared" si="373"/>
        <v>81642897.6</v>
      </c>
      <c r="GS112" s="52">
        <f t="shared" si="361"/>
        <v>35620525.789832406</v>
      </c>
      <c r="GT112" s="9"/>
    </row>
    <row r="113" spans="1:202" ht="18">
      <c r="A113" s="9">
        <v>2013</v>
      </c>
      <c r="B113" s="49">
        <v>2020</v>
      </c>
      <c r="C113" s="31">
        <f aca="true" t="shared" si="486" ref="C113:K113">C37</f>
        <v>509</v>
      </c>
      <c r="D113" s="31">
        <f t="shared" si="486"/>
        <v>172</v>
      </c>
      <c r="E113" s="79" t="str">
        <f t="shared" si="486"/>
        <v>a</v>
      </c>
      <c r="F113" s="79" t="str">
        <f t="shared" si="486"/>
        <v>a</v>
      </c>
      <c r="G113" s="79" t="str">
        <f t="shared" si="486"/>
        <v>a</v>
      </c>
      <c r="H113" s="79" t="str">
        <f t="shared" si="486"/>
        <v>a</v>
      </c>
      <c r="I113" s="79" t="str">
        <f t="shared" si="486"/>
        <v>a</v>
      </c>
      <c r="J113" s="79" t="str">
        <f t="shared" si="486"/>
        <v>a</v>
      </c>
      <c r="K113" s="86">
        <f t="shared" si="486"/>
        <v>681</v>
      </c>
      <c r="L113" s="36">
        <f t="shared" si="375"/>
        <v>2020.2</v>
      </c>
      <c r="M113" s="36"/>
      <c r="N113" s="36"/>
      <c r="O113" s="36"/>
      <c r="P113" s="36">
        <f t="shared" si="399"/>
        <v>686868</v>
      </c>
      <c r="Q113" s="36">
        <f t="shared" si="410"/>
        <v>719191.2000000001</v>
      </c>
      <c r="R113" s="36">
        <f t="shared" si="421"/>
        <v>751514.4</v>
      </c>
      <c r="S113" s="36">
        <f t="shared" si="432"/>
        <v>785857.8</v>
      </c>
      <c r="T113" s="36">
        <f t="shared" si="443"/>
        <v>822221.4</v>
      </c>
      <c r="U113" s="36">
        <f t="shared" si="454"/>
        <v>860605.2000000001</v>
      </c>
      <c r="V113" s="36">
        <f t="shared" si="465"/>
        <v>898989</v>
      </c>
      <c r="W113" s="36">
        <f t="shared" si="477"/>
        <v>939393</v>
      </c>
      <c r="X113" s="36">
        <f aca="true" t="shared" si="487" ref="X113:X121">$C$112*$L$112</f>
        <v>981817.2000000001</v>
      </c>
      <c r="Y113" s="47">
        <f>$C$113*$L$113</f>
        <v>1028281.8</v>
      </c>
      <c r="Z113" s="36"/>
      <c r="AA113" s="36"/>
      <c r="AB113" s="36"/>
      <c r="AC113" s="36">
        <f t="shared" si="400"/>
        <v>266666.4</v>
      </c>
      <c r="AD113" s="36">
        <f t="shared" si="411"/>
        <v>274747.2</v>
      </c>
      <c r="AE113" s="36">
        <f t="shared" si="422"/>
        <v>282828</v>
      </c>
      <c r="AF113" s="36">
        <f t="shared" si="433"/>
        <v>290908.8</v>
      </c>
      <c r="AG113" s="36">
        <f t="shared" si="444"/>
        <v>298989.60000000003</v>
      </c>
      <c r="AH113" s="36">
        <f t="shared" si="455"/>
        <v>309090.60000000003</v>
      </c>
      <c r="AI113" s="36">
        <f t="shared" si="466"/>
        <v>317171.4</v>
      </c>
      <c r="AJ113" s="36">
        <f t="shared" si="478"/>
        <v>327272.4</v>
      </c>
      <c r="AK113" s="36">
        <f aca="true" t="shared" si="488" ref="AK113:AK121">$D$112*$L$112</f>
        <v>337373.4</v>
      </c>
      <c r="AL113" s="47">
        <f>$D$113*$L$113</f>
        <v>347474.4</v>
      </c>
      <c r="AM113" s="36"/>
      <c r="AN113" s="36"/>
      <c r="AO113" s="36"/>
      <c r="AP113" s="36">
        <f t="shared" si="401"/>
        <v>3173734.2</v>
      </c>
      <c r="AQ113" s="36">
        <f t="shared" si="412"/>
        <v>3337370.4</v>
      </c>
      <c r="AR113" s="36">
        <f t="shared" si="423"/>
        <v>3511107.6</v>
      </c>
      <c r="AS113" s="36">
        <f t="shared" si="434"/>
        <v>3694945.8000000003</v>
      </c>
      <c r="AT113" s="36">
        <f t="shared" si="445"/>
        <v>3886864.8000000003</v>
      </c>
      <c r="AU113" s="36">
        <f t="shared" si="456"/>
        <v>4088884.8000000003</v>
      </c>
      <c r="AV113" s="36">
        <f t="shared" si="467"/>
        <v>4301005.8</v>
      </c>
      <c r="AW113" s="36">
        <f t="shared" si="479"/>
        <v>4525248</v>
      </c>
      <c r="AX113" s="36">
        <f aca="true" t="shared" si="489" ref="AX113:AX121">$E$112*$L$112</f>
        <v>4759591.2</v>
      </c>
      <c r="AY113" s="47">
        <v>0</v>
      </c>
      <c r="AZ113" s="36"/>
      <c r="BA113" s="36"/>
      <c r="BB113" s="36"/>
      <c r="BC113" s="36">
        <f t="shared" si="402"/>
        <v>1058584.8</v>
      </c>
      <c r="BD113" s="36">
        <f t="shared" si="413"/>
        <v>1113130.2</v>
      </c>
      <c r="BE113" s="36">
        <f t="shared" si="424"/>
        <v>1169695.8</v>
      </c>
      <c r="BF113" s="36">
        <f t="shared" si="435"/>
        <v>1232322</v>
      </c>
      <c r="BG113" s="36">
        <f t="shared" si="446"/>
        <v>1294948.2</v>
      </c>
      <c r="BH113" s="36">
        <f t="shared" si="457"/>
        <v>1363635</v>
      </c>
      <c r="BI113" s="36">
        <f t="shared" si="468"/>
        <v>1434342</v>
      </c>
      <c r="BJ113" s="36">
        <f t="shared" si="480"/>
        <v>1509089.4000000001</v>
      </c>
      <c r="BK113" s="36">
        <f aca="true" t="shared" si="490" ref="BK113:BK121">$F$112*$L$112</f>
        <v>1585857</v>
      </c>
      <c r="BL113" s="47">
        <v>0</v>
      </c>
      <c r="BM113" s="36"/>
      <c r="BN113" s="36"/>
      <c r="BO113" s="36"/>
      <c r="BP113" s="36"/>
      <c r="BQ113" s="36"/>
      <c r="BR113" s="36"/>
      <c r="BS113" s="36"/>
      <c r="BT113" s="36"/>
      <c r="BU113" s="36"/>
      <c r="BV113" s="36"/>
      <c r="BW113" s="36"/>
      <c r="BX113" s="36"/>
      <c r="BY113" s="47"/>
      <c r="BZ113" s="36"/>
      <c r="CA113" s="36"/>
      <c r="CB113" s="36"/>
      <c r="CC113" s="36"/>
      <c r="CD113" s="36"/>
      <c r="CE113" s="36"/>
      <c r="CF113" s="36"/>
      <c r="CG113" s="36"/>
      <c r="CH113" s="36"/>
      <c r="CI113" s="36"/>
      <c r="CJ113" s="36"/>
      <c r="CK113" s="36"/>
      <c r="CL113" s="47"/>
      <c r="CM113" s="36"/>
      <c r="CN113" s="36"/>
      <c r="CO113" s="36"/>
      <c r="CP113" s="36">
        <f t="shared" si="403"/>
        <v>234343.2</v>
      </c>
      <c r="CQ113" s="36">
        <f t="shared" si="414"/>
        <v>246464.4</v>
      </c>
      <c r="CR113" s="36">
        <f t="shared" si="425"/>
        <v>258585.6</v>
      </c>
      <c r="CS113" s="36">
        <f t="shared" si="436"/>
        <v>272727</v>
      </c>
      <c r="CT113" s="36">
        <f t="shared" si="447"/>
        <v>286868.4</v>
      </c>
      <c r="CU113" s="36">
        <f t="shared" si="458"/>
        <v>301009.8</v>
      </c>
      <c r="CV113" s="36">
        <f t="shared" si="469"/>
        <v>317171.4</v>
      </c>
      <c r="CW113" s="36">
        <f t="shared" si="481"/>
        <v>333333</v>
      </c>
      <c r="CX113" s="36">
        <f aca="true" t="shared" si="491" ref="CX113:CX121">$I$112*$L$112</f>
        <v>351514.8</v>
      </c>
      <c r="CY113" s="36">
        <v>0</v>
      </c>
      <c r="CZ113" s="36">
        <f t="shared" si="360"/>
        <v>61169635.8</v>
      </c>
      <c r="DA113" s="38">
        <f>CZ113*(1+$E$10)^-18</f>
        <v>25417247.125621438</v>
      </c>
      <c r="DB113" s="78">
        <f t="shared" si="392"/>
        <v>519</v>
      </c>
      <c r="DC113" s="36"/>
      <c r="DD113" s="36"/>
      <c r="DE113" s="36"/>
      <c r="DF113" s="36">
        <f t="shared" si="404"/>
        <v>176460</v>
      </c>
      <c r="DG113" s="36">
        <f t="shared" si="415"/>
        <v>184764</v>
      </c>
      <c r="DH113" s="36">
        <f t="shared" si="426"/>
        <v>193068</v>
      </c>
      <c r="DI113" s="36">
        <f t="shared" si="437"/>
        <v>201891</v>
      </c>
      <c r="DJ113" s="36">
        <f t="shared" si="448"/>
        <v>211233</v>
      </c>
      <c r="DK113" s="36">
        <f t="shared" si="459"/>
        <v>221094</v>
      </c>
      <c r="DL113" s="36">
        <f t="shared" si="470"/>
        <v>230955</v>
      </c>
      <c r="DM113" s="36">
        <f t="shared" si="471"/>
        <v>241335</v>
      </c>
      <c r="DN113" s="36">
        <f aca="true" t="shared" si="492" ref="DN113:DN121">$C$112*$DB$112</f>
        <v>252234</v>
      </c>
      <c r="DO113" s="47">
        <f>$C$113*$DB$113</f>
        <v>264171</v>
      </c>
      <c r="DP113" s="36"/>
      <c r="DQ113" s="36"/>
      <c r="DR113" s="36"/>
      <c r="DS113" s="36">
        <f t="shared" si="405"/>
        <v>68508</v>
      </c>
      <c r="DT113" s="36">
        <f t="shared" si="416"/>
        <v>70584</v>
      </c>
      <c r="DU113" s="36">
        <f t="shared" si="427"/>
        <v>72660</v>
      </c>
      <c r="DV113" s="36">
        <f t="shared" si="438"/>
        <v>74736</v>
      </c>
      <c r="DW113" s="36">
        <f t="shared" si="449"/>
        <v>76812</v>
      </c>
      <c r="DX113" s="36">
        <f t="shared" si="460"/>
        <v>79407</v>
      </c>
      <c r="DY113" s="36">
        <f t="shared" si="472"/>
        <v>81483</v>
      </c>
      <c r="DZ113" s="36">
        <f t="shared" si="482"/>
        <v>84078</v>
      </c>
      <c r="EA113" s="36">
        <f aca="true" t="shared" si="493" ref="EA113:EA121">$D$112*$DB$112</f>
        <v>86673</v>
      </c>
      <c r="EB113" s="47">
        <f>$D$113*$DB$113</f>
        <v>89268</v>
      </c>
      <c r="EC113" s="36"/>
      <c r="ED113" s="36"/>
      <c r="EE113" s="36"/>
      <c r="EF113" s="36">
        <f t="shared" si="406"/>
        <v>815349</v>
      </c>
      <c r="EG113" s="36">
        <f t="shared" si="417"/>
        <v>857388</v>
      </c>
      <c r="EH113" s="36">
        <f t="shared" si="428"/>
        <v>902022</v>
      </c>
      <c r="EI113" s="36">
        <f t="shared" si="439"/>
        <v>949251</v>
      </c>
      <c r="EJ113" s="36">
        <f t="shared" si="450"/>
        <v>998556</v>
      </c>
      <c r="EK113" s="36">
        <f t="shared" si="461"/>
        <v>1050456</v>
      </c>
      <c r="EL113" s="36">
        <f t="shared" si="473"/>
        <v>1104951</v>
      </c>
      <c r="EM113" s="36">
        <f t="shared" si="483"/>
        <v>1162560</v>
      </c>
      <c r="EN113" s="36">
        <f aca="true" t="shared" si="494" ref="EN113:EN121">$E$112*$DB$112</f>
        <v>1222764</v>
      </c>
      <c r="EO113" s="47">
        <v>0</v>
      </c>
      <c r="EP113" s="9"/>
      <c r="EQ113" s="36"/>
      <c r="ER113" s="36"/>
      <c r="ES113" s="36">
        <f t="shared" si="407"/>
        <v>271956</v>
      </c>
      <c r="ET113" s="36">
        <f t="shared" si="418"/>
        <v>285969</v>
      </c>
      <c r="EU113" s="36">
        <f t="shared" si="429"/>
        <v>300501</v>
      </c>
      <c r="EV113" s="36">
        <f t="shared" si="440"/>
        <v>316590</v>
      </c>
      <c r="EW113" s="36">
        <f t="shared" si="451"/>
        <v>332679</v>
      </c>
      <c r="EX113" s="36">
        <f t="shared" si="462"/>
        <v>350325</v>
      </c>
      <c r="EY113" s="36">
        <f t="shared" si="474"/>
        <v>368490</v>
      </c>
      <c r="EZ113" s="36">
        <f t="shared" si="484"/>
        <v>387693</v>
      </c>
      <c r="FA113" s="36">
        <f aca="true" t="shared" si="495" ref="FA113:FA121">$F$112*$DB$112</f>
        <v>407415</v>
      </c>
      <c r="FB113" s="47">
        <v>0</v>
      </c>
      <c r="FC113" s="36"/>
      <c r="FD113" s="36"/>
      <c r="FE113" s="36"/>
      <c r="FF113" s="36"/>
      <c r="FG113" s="36"/>
      <c r="FH113" s="36"/>
      <c r="FI113" s="36"/>
      <c r="FJ113" s="36"/>
      <c r="FK113" s="36"/>
      <c r="FL113" s="36"/>
      <c r="FM113" s="36"/>
      <c r="FN113" s="36"/>
      <c r="FO113" s="47"/>
      <c r="FP113" s="36"/>
      <c r="FQ113" s="36"/>
      <c r="FR113" s="36"/>
      <c r="FS113" s="36"/>
      <c r="FT113" s="36"/>
      <c r="FU113" s="36"/>
      <c r="FV113" s="36"/>
      <c r="FW113" s="36"/>
      <c r="FX113" s="36"/>
      <c r="FY113" s="36"/>
      <c r="FZ113" s="36"/>
      <c r="GA113" s="36"/>
      <c r="GB113" s="47"/>
      <c r="GC113" s="36"/>
      <c r="GD113" s="36"/>
      <c r="GE113" s="36"/>
      <c r="GF113" s="36">
        <f t="shared" si="408"/>
        <v>60204</v>
      </c>
      <c r="GG113" s="36">
        <f t="shared" si="419"/>
        <v>63318</v>
      </c>
      <c r="GH113" s="36">
        <f t="shared" si="430"/>
        <v>66432</v>
      </c>
      <c r="GI113" s="36">
        <f t="shared" si="441"/>
        <v>70065</v>
      </c>
      <c r="GJ113" s="36">
        <f t="shared" si="452"/>
        <v>73698</v>
      </c>
      <c r="GK113" s="36">
        <f t="shared" si="463"/>
        <v>77331</v>
      </c>
      <c r="GL113" s="36">
        <f t="shared" si="475"/>
        <v>81483</v>
      </c>
      <c r="GM113" s="36">
        <f t="shared" si="485"/>
        <v>85635</v>
      </c>
      <c r="GN113" s="36">
        <f aca="true" t="shared" si="496" ref="GN113:GN121">$I$112*$DB$112</f>
        <v>90306</v>
      </c>
      <c r="GO113" s="47">
        <v>0</v>
      </c>
      <c r="GP113" s="36">
        <f>SUM(DC113:GO113)</f>
        <v>15714801</v>
      </c>
      <c r="GQ113" s="38">
        <f>GP113*(1+$E$11)^-18</f>
        <v>6529824.402632179</v>
      </c>
      <c r="GR113" s="38">
        <f t="shared" si="373"/>
        <v>76884436.8</v>
      </c>
      <c r="GS113" s="52">
        <f t="shared" si="361"/>
        <v>31947071.528253615</v>
      </c>
      <c r="GT113" s="9"/>
    </row>
    <row r="114" spans="1:202" ht="18">
      <c r="A114" s="9"/>
      <c r="B114" s="49">
        <v>2021</v>
      </c>
      <c r="C114" s="79" t="str">
        <f aca="true" t="shared" si="497" ref="C114:K114">C38</f>
        <v>a</v>
      </c>
      <c r="D114" s="79" t="str">
        <f t="shared" si="497"/>
        <v>a</v>
      </c>
      <c r="E114" s="79" t="str">
        <f t="shared" si="497"/>
        <v>a</v>
      </c>
      <c r="F114" s="79" t="str">
        <f t="shared" si="497"/>
        <v>a</v>
      </c>
      <c r="G114" s="79" t="str">
        <f t="shared" si="497"/>
        <v>a</v>
      </c>
      <c r="H114" s="79" t="str">
        <f t="shared" si="497"/>
        <v>a</v>
      </c>
      <c r="I114" s="79" t="str">
        <f t="shared" si="497"/>
        <v>a</v>
      </c>
      <c r="J114" s="79" t="str">
        <f t="shared" si="497"/>
        <v>a</v>
      </c>
      <c r="K114" s="80" t="str">
        <f t="shared" si="497"/>
        <v>a</v>
      </c>
      <c r="L114" s="36"/>
      <c r="M114" s="36"/>
      <c r="N114" s="36"/>
      <c r="O114" s="36"/>
      <c r="P114" s="36"/>
      <c r="Q114" s="36">
        <f t="shared" si="410"/>
        <v>719191.2000000001</v>
      </c>
      <c r="R114" s="36">
        <f t="shared" si="421"/>
        <v>751514.4</v>
      </c>
      <c r="S114" s="36">
        <f t="shared" si="432"/>
        <v>785857.8</v>
      </c>
      <c r="T114" s="36">
        <f t="shared" si="443"/>
        <v>822221.4</v>
      </c>
      <c r="U114" s="36">
        <f t="shared" si="454"/>
        <v>860605.2000000001</v>
      </c>
      <c r="V114" s="36">
        <f t="shared" si="465"/>
        <v>898989</v>
      </c>
      <c r="W114" s="36">
        <f t="shared" si="477"/>
        <v>939393</v>
      </c>
      <c r="X114" s="36">
        <f t="shared" si="487"/>
        <v>981817.2000000001</v>
      </c>
      <c r="Y114" s="47">
        <f aca="true" t="shared" si="498" ref="Y114:Y122">$C$113*$L$113</f>
        <v>1028281.8</v>
      </c>
      <c r="Z114" s="36"/>
      <c r="AA114" s="36"/>
      <c r="AB114" s="36"/>
      <c r="AC114" s="36"/>
      <c r="AD114" s="36">
        <f t="shared" si="411"/>
        <v>274747.2</v>
      </c>
      <c r="AE114" s="36">
        <f t="shared" si="422"/>
        <v>282828</v>
      </c>
      <c r="AF114" s="36">
        <f t="shared" si="433"/>
        <v>290908.8</v>
      </c>
      <c r="AG114" s="36">
        <f t="shared" si="444"/>
        <v>298989.60000000003</v>
      </c>
      <c r="AH114" s="36">
        <f t="shared" si="455"/>
        <v>309090.60000000003</v>
      </c>
      <c r="AI114" s="36">
        <f t="shared" si="466"/>
        <v>317171.4</v>
      </c>
      <c r="AJ114" s="36">
        <f t="shared" si="478"/>
        <v>327272.4</v>
      </c>
      <c r="AK114" s="36">
        <f t="shared" si="488"/>
        <v>337373.4</v>
      </c>
      <c r="AL114" s="47">
        <f aca="true" t="shared" si="499" ref="AL114:AL122">$D$113*$L$113</f>
        <v>347474.4</v>
      </c>
      <c r="AM114" s="36"/>
      <c r="AN114" s="36"/>
      <c r="AO114" s="36"/>
      <c r="AP114" s="36"/>
      <c r="AQ114" s="36">
        <f t="shared" si="412"/>
        <v>3337370.4</v>
      </c>
      <c r="AR114" s="36">
        <f t="shared" si="423"/>
        <v>3511107.6</v>
      </c>
      <c r="AS114" s="36">
        <f t="shared" si="434"/>
        <v>3694945.8000000003</v>
      </c>
      <c r="AT114" s="36">
        <f t="shared" si="445"/>
        <v>3886864.8000000003</v>
      </c>
      <c r="AU114" s="36">
        <f t="shared" si="456"/>
        <v>4088884.8000000003</v>
      </c>
      <c r="AV114" s="36">
        <f t="shared" si="467"/>
        <v>4301005.8</v>
      </c>
      <c r="AW114" s="36">
        <f t="shared" si="479"/>
        <v>4525248</v>
      </c>
      <c r="AX114" s="36">
        <f t="shared" si="489"/>
        <v>4759591.2</v>
      </c>
      <c r="AY114" s="47">
        <v>0</v>
      </c>
      <c r="AZ114" s="36"/>
      <c r="BA114" s="36"/>
      <c r="BB114" s="36"/>
      <c r="BC114" s="36"/>
      <c r="BD114" s="36">
        <f t="shared" si="413"/>
        <v>1113130.2</v>
      </c>
      <c r="BE114" s="36">
        <f t="shared" si="424"/>
        <v>1169695.8</v>
      </c>
      <c r="BF114" s="36">
        <f t="shared" si="435"/>
        <v>1232322</v>
      </c>
      <c r="BG114" s="36">
        <f t="shared" si="446"/>
        <v>1294948.2</v>
      </c>
      <c r="BH114" s="36">
        <f t="shared" si="457"/>
        <v>1363635</v>
      </c>
      <c r="BI114" s="36">
        <f t="shared" si="468"/>
        <v>1434342</v>
      </c>
      <c r="BJ114" s="36">
        <f t="shared" si="480"/>
        <v>1509089.4000000001</v>
      </c>
      <c r="BK114" s="36">
        <f t="shared" si="490"/>
        <v>1585857</v>
      </c>
      <c r="BL114" s="47">
        <v>0</v>
      </c>
      <c r="BM114" s="36"/>
      <c r="BN114" s="36"/>
      <c r="BO114" s="36"/>
      <c r="BP114" s="36"/>
      <c r="BQ114" s="36"/>
      <c r="BR114" s="36"/>
      <c r="BS114" s="36"/>
      <c r="BT114" s="36"/>
      <c r="BU114" s="36"/>
      <c r="BV114" s="36"/>
      <c r="BW114" s="36"/>
      <c r="BX114" s="36"/>
      <c r="BY114" s="47"/>
      <c r="BZ114" s="36"/>
      <c r="CA114" s="36"/>
      <c r="CB114" s="36"/>
      <c r="CC114" s="36"/>
      <c r="CD114" s="36"/>
      <c r="CE114" s="36"/>
      <c r="CF114" s="36"/>
      <c r="CG114" s="36"/>
      <c r="CH114" s="36"/>
      <c r="CI114" s="36"/>
      <c r="CJ114" s="36"/>
      <c r="CK114" s="36"/>
      <c r="CL114" s="47"/>
      <c r="CM114" s="36"/>
      <c r="CN114" s="36"/>
      <c r="CO114" s="36"/>
      <c r="CP114" s="36"/>
      <c r="CQ114" s="36">
        <f t="shared" si="414"/>
        <v>246464.4</v>
      </c>
      <c r="CR114" s="36">
        <f t="shared" si="425"/>
        <v>258585.6</v>
      </c>
      <c r="CS114" s="36">
        <f t="shared" si="436"/>
        <v>272727</v>
      </c>
      <c r="CT114" s="36">
        <f t="shared" si="447"/>
        <v>286868.4</v>
      </c>
      <c r="CU114" s="36">
        <f t="shared" si="458"/>
        <v>301009.8</v>
      </c>
      <c r="CV114" s="36">
        <f t="shared" si="469"/>
        <v>317171.4</v>
      </c>
      <c r="CW114" s="36">
        <f t="shared" si="481"/>
        <v>333333</v>
      </c>
      <c r="CX114" s="36">
        <f t="shared" si="491"/>
        <v>351514.8</v>
      </c>
      <c r="CY114" s="36">
        <v>0</v>
      </c>
      <c r="CZ114" s="36">
        <f t="shared" si="360"/>
        <v>55749439.199999996</v>
      </c>
      <c r="DA114" s="38">
        <f>CZ114*(1+$E$10)^-19</f>
        <v>22061946.176075175</v>
      </c>
      <c r="DB114" s="78"/>
      <c r="DC114" s="36"/>
      <c r="DD114" s="36"/>
      <c r="DE114" s="36"/>
      <c r="DF114" s="36"/>
      <c r="DG114" s="36">
        <f t="shared" si="415"/>
        <v>184764</v>
      </c>
      <c r="DH114" s="36">
        <f t="shared" si="426"/>
        <v>193068</v>
      </c>
      <c r="DI114" s="36">
        <f t="shared" si="437"/>
        <v>201891</v>
      </c>
      <c r="DJ114" s="36">
        <f t="shared" si="448"/>
        <v>211233</v>
      </c>
      <c r="DK114" s="36">
        <f t="shared" si="459"/>
        <v>221094</v>
      </c>
      <c r="DL114" s="36">
        <f t="shared" si="470"/>
        <v>230955</v>
      </c>
      <c r="DM114" s="36">
        <f t="shared" si="471"/>
        <v>241335</v>
      </c>
      <c r="DN114" s="36">
        <f t="shared" si="492"/>
        <v>252234</v>
      </c>
      <c r="DO114" s="47">
        <f aca="true" t="shared" si="500" ref="DO114:DO122">$C$113*$DB$113</f>
        <v>264171</v>
      </c>
      <c r="DP114" s="36"/>
      <c r="DQ114" s="36"/>
      <c r="DR114" s="36"/>
      <c r="DS114" s="36"/>
      <c r="DT114" s="36">
        <f t="shared" si="416"/>
        <v>70584</v>
      </c>
      <c r="DU114" s="36">
        <f t="shared" si="427"/>
        <v>72660</v>
      </c>
      <c r="DV114" s="36">
        <f t="shared" si="438"/>
        <v>74736</v>
      </c>
      <c r="DW114" s="36">
        <f t="shared" si="449"/>
        <v>76812</v>
      </c>
      <c r="DX114" s="36">
        <f t="shared" si="460"/>
        <v>79407</v>
      </c>
      <c r="DY114" s="36">
        <f t="shared" si="472"/>
        <v>81483</v>
      </c>
      <c r="DZ114" s="36">
        <f t="shared" si="482"/>
        <v>84078</v>
      </c>
      <c r="EA114" s="36">
        <f t="shared" si="493"/>
        <v>86673</v>
      </c>
      <c r="EB114" s="47">
        <f aca="true" t="shared" si="501" ref="EB114:EB122">$D$113*$DB$113</f>
        <v>89268</v>
      </c>
      <c r="EC114" s="36"/>
      <c r="ED114" s="36"/>
      <c r="EE114" s="36"/>
      <c r="EF114" s="36"/>
      <c r="EG114" s="36">
        <f t="shared" si="417"/>
        <v>857388</v>
      </c>
      <c r="EH114" s="36">
        <f t="shared" si="428"/>
        <v>902022</v>
      </c>
      <c r="EI114" s="36">
        <f t="shared" si="439"/>
        <v>949251</v>
      </c>
      <c r="EJ114" s="36">
        <f t="shared" si="450"/>
        <v>998556</v>
      </c>
      <c r="EK114" s="36">
        <f t="shared" si="461"/>
        <v>1050456</v>
      </c>
      <c r="EL114" s="36">
        <f t="shared" si="473"/>
        <v>1104951</v>
      </c>
      <c r="EM114" s="36">
        <f t="shared" si="483"/>
        <v>1162560</v>
      </c>
      <c r="EN114" s="36">
        <f t="shared" si="494"/>
        <v>1222764</v>
      </c>
      <c r="EO114" s="47">
        <v>0</v>
      </c>
      <c r="EP114" s="9"/>
      <c r="EQ114" s="36"/>
      <c r="ER114" s="36"/>
      <c r="ES114" s="36"/>
      <c r="ET114" s="36">
        <f t="shared" si="418"/>
        <v>285969</v>
      </c>
      <c r="EU114" s="36">
        <f t="shared" si="429"/>
        <v>300501</v>
      </c>
      <c r="EV114" s="36">
        <f t="shared" si="440"/>
        <v>316590</v>
      </c>
      <c r="EW114" s="36">
        <f t="shared" si="451"/>
        <v>332679</v>
      </c>
      <c r="EX114" s="36">
        <f t="shared" si="462"/>
        <v>350325</v>
      </c>
      <c r="EY114" s="36">
        <f t="shared" si="474"/>
        <v>368490</v>
      </c>
      <c r="EZ114" s="36">
        <f t="shared" si="484"/>
        <v>387693</v>
      </c>
      <c r="FA114" s="36">
        <f t="shared" si="495"/>
        <v>407415</v>
      </c>
      <c r="FB114" s="47">
        <v>0</v>
      </c>
      <c r="FC114" s="36"/>
      <c r="FD114" s="36"/>
      <c r="FE114" s="36"/>
      <c r="FF114" s="36"/>
      <c r="FG114" s="36"/>
      <c r="FH114" s="36"/>
      <c r="FI114" s="36"/>
      <c r="FJ114" s="36"/>
      <c r="FK114" s="36"/>
      <c r="FL114" s="36"/>
      <c r="FM114" s="36"/>
      <c r="FN114" s="36"/>
      <c r="FO114" s="47"/>
      <c r="FP114" s="36"/>
      <c r="FQ114" s="36"/>
      <c r="FR114" s="36"/>
      <c r="FS114" s="36"/>
      <c r="FT114" s="36"/>
      <c r="FU114" s="36"/>
      <c r="FV114" s="36"/>
      <c r="FW114" s="36"/>
      <c r="FX114" s="36"/>
      <c r="FY114" s="36"/>
      <c r="FZ114" s="36"/>
      <c r="GA114" s="36"/>
      <c r="GB114" s="47"/>
      <c r="GC114" s="36"/>
      <c r="GD114" s="36"/>
      <c r="GE114" s="36"/>
      <c r="GF114" s="36"/>
      <c r="GG114" s="36">
        <f t="shared" si="419"/>
        <v>63318</v>
      </c>
      <c r="GH114" s="36">
        <f t="shared" si="430"/>
        <v>66432</v>
      </c>
      <c r="GI114" s="36">
        <f t="shared" si="441"/>
        <v>70065</v>
      </c>
      <c r="GJ114" s="36">
        <f t="shared" si="452"/>
        <v>73698</v>
      </c>
      <c r="GK114" s="36">
        <f t="shared" si="463"/>
        <v>77331</v>
      </c>
      <c r="GL114" s="36">
        <f t="shared" si="475"/>
        <v>81483</v>
      </c>
      <c r="GM114" s="36">
        <f t="shared" si="485"/>
        <v>85635</v>
      </c>
      <c r="GN114" s="36">
        <f t="shared" si="496"/>
        <v>90306</v>
      </c>
      <c r="GO114" s="47">
        <v>0</v>
      </c>
      <c r="GP114" s="36">
        <f>SUM(DC114:GO114)</f>
        <v>14322324</v>
      </c>
      <c r="GQ114" s="38">
        <f>GP114*(1+$E$11)^-19</f>
        <v>5667829.950194543</v>
      </c>
      <c r="GR114" s="38">
        <f t="shared" si="373"/>
        <v>70071763.19999999</v>
      </c>
      <c r="GS114" s="52">
        <f t="shared" si="361"/>
        <v>27729776.12626972</v>
      </c>
      <c r="GT114" s="9"/>
    </row>
    <row r="115" spans="1:202" ht="18">
      <c r="A115" s="9"/>
      <c r="B115" s="49">
        <v>2022</v>
      </c>
      <c r="C115" s="79" t="str">
        <f aca="true" t="shared" si="502" ref="C115:K115">C39</f>
        <v>a</v>
      </c>
      <c r="D115" s="79" t="str">
        <f t="shared" si="502"/>
        <v>a</v>
      </c>
      <c r="E115" s="79" t="str">
        <f t="shared" si="502"/>
        <v>a</v>
      </c>
      <c r="F115" s="79" t="str">
        <f t="shared" si="502"/>
        <v>a</v>
      </c>
      <c r="G115" s="79" t="str">
        <f t="shared" si="502"/>
        <v>a</v>
      </c>
      <c r="H115" s="79" t="str">
        <f t="shared" si="502"/>
        <v>a</v>
      </c>
      <c r="I115" s="79" t="str">
        <f t="shared" si="502"/>
        <v>a</v>
      </c>
      <c r="J115" s="79" t="str">
        <f t="shared" si="502"/>
        <v>a</v>
      </c>
      <c r="K115" s="80" t="str">
        <f t="shared" si="502"/>
        <v>a</v>
      </c>
      <c r="L115" s="36"/>
      <c r="M115" s="36"/>
      <c r="N115" s="36"/>
      <c r="O115" s="36"/>
      <c r="P115" s="36"/>
      <c r="Q115" s="36"/>
      <c r="R115" s="36">
        <f t="shared" si="421"/>
        <v>751514.4</v>
      </c>
      <c r="S115" s="36">
        <f t="shared" si="432"/>
        <v>785857.8</v>
      </c>
      <c r="T115" s="36">
        <f t="shared" si="443"/>
        <v>822221.4</v>
      </c>
      <c r="U115" s="36">
        <f t="shared" si="454"/>
        <v>860605.2000000001</v>
      </c>
      <c r="V115" s="36">
        <f t="shared" si="465"/>
        <v>898989</v>
      </c>
      <c r="W115" s="36">
        <f t="shared" si="477"/>
        <v>939393</v>
      </c>
      <c r="X115" s="36">
        <f t="shared" si="487"/>
        <v>981817.2000000001</v>
      </c>
      <c r="Y115" s="47">
        <f t="shared" si="498"/>
        <v>1028281.8</v>
      </c>
      <c r="Z115" s="36"/>
      <c r="AA115" s="36"/>
      <c r="AB115" s="36"/>
      <c r="AC115" s="36"/>
      <c r="AD115" s="36"/>
      <c r="AE115" s="36">
        <f t="shared" si="422"/>
        <v>282828</v>
      </c>
      <c r="AF115" s="36">
        <f t="shared" si="433"/>
        <v>290908.8</v>
      </c>
      <c r="AG115" s="36">
        <f t="shared" si="444"/>
        <v>298989.60000000003</v>
      </c>
      <c r="AH115" s="36">
        <f t="shared" si="455"/>
        <v>309090.60000000003</v>
      </c>
      <c r="AI115" s="36">
        <f t="shared" si="466"/>
        <v>317171.4</v>
      </c>
      <c r="AJ115" s="36">
        <f t="shared" si="478"/>
        <v>327272.4</v>
      </c>
      <c r="AK115" s="36">
        <f t="shared" si="488"/>
        <v>337373.4</v>
      </c>
      <c r="AL115" s="47">
        <f t="shared" si="499"/>
        <v>347474.4</v>
      </c>
      <c r="AM115" s="36"/>
      <c r="AN115" s="36"/>
      <c r="AO115" s="36"/>
      <c r="AP115" s="36"/>
      <c r="AQ115" s="36"/>
      <c r="AR115" s="36">
        <f t="shared" si="423"/>
        <v>3511107.6</v>
      </c>
      <c r="AS115" s="36">
        <f t="shared" si="434"/>
        <v>3694945.8000000003</v>
      </c>
      <c r="AT115" s="36">
        <f t="shared" si="445"/>
        <v>3886864.8000000003</v>
      </c>
      <c r="AU115" s="36">
        <f t="shared" si="456"/>
        <v>4088884.8000000003</v>
      </c>
      <c r="AV115" s="36">
        <f t="shared" si="467"/>
        <v>4301005.8</v>
      </c>
      <c r="AW115" s="36">
        <f t="shared" si="479"/>
        <v>4525248</v>
      </c>
      <c r="AX115" s="36">
        <f t="shared" si="489"/>
        <v>4759591.2</v>
      </c>
      <c r="AY115" s="47">
        <v>0</v>
      </c>
      <c r="AZ115" s="36"/>
      <c r="BA115" s="36"/>
      <c r="BB115" s="36"/>
      <c r="BC115" s="36"/>
      <c r="BD115" s="36"/>
      <c r="BE115" s="36">
        <f t="shared" si="424"/>
        <v>1169695.8</v>
      </c>
      <c r="BF115" s="36">
        <f t="shared" si="435"/>
        <v>1232322</v>
      </c>
      <c r="BG115" s="36">
        <f t="shared" si="446"/>
        <v>1294948.2</v>
      </c>
      <c r="BH115" s="36">
        <f t="shared" si="457"/>
        <v>1363635</v>
      </c>
      <c r="BI115" s="36">
        <f t="shared" si="468"/>
        <v>1434342</v>
      </c>
      <c r="BJ115" s="36">
        <f t="shared" si="480"/>
        <v>1509089.4000000001</v>
      </c>
      <c r="BK115" s="36">
        <f t="shared" si="490"/>
        <v>1585857</v>
      </c>
      <c r="BL115" s="47">
        <v>0</v>
      </c>
      <c r="BM115" s="36"/>
      <c r="BN115" s="36"/>
      <c r="BO115" s="36"/>
      <c r="BP115" s="36"/>
      <c r="BQ115" s="36"/>
      <c r="BR115" s="36"/>
      <c r="BS115" s="36"/>
      <c r="BT115" s="36"/>
      <c r="BU115" s="36"/>
      <c r="BV115" s="36"/>
      <c r="BW115" s="36"/>
      <c r="BX115" s="36"/>
      <c r="BY115" s="47"/>
      <c r="BZ115" s="36"/>
      <c r="CA115" s="36"/>
      <c r="CB115" s="36"/>
      <c r="CC115" s="36"/>
      <c r="CD115" s="36"/>
      <c r="CE115" s="36"/>
      <c r="CF115" s="36"/>
      <c r="CG115" s="36"/>
      <c r="CH115" s="36"/>
      <c r="CI115" s="36"/>
      <c r="CJ115" s="36"/>
      <c r="CK115" s="36"/>
      <c r="CL115" s="47"/>
      <c r="CM115" s="36"/>
      <c r="CN115" s="36"/>
      <c r="CO115" s="36"/>
      <c r="CP115" s="36"/>
      <c r="CQ115" s="36"/>
      <c r="CR115" s="36">
        <f t="shared" si="425"/>
        <v>258585.6</v>
      </c>
      <c r="CS115" s="36">
        <f t="shared" si="436"/>
        <v>272727</v>
      </c>
      <c r="CT115" s="36">
        <f t="shared" si="447"/>
        <v>286868.4</v>
      </c>
      <c r="CU115" s="36">
        <f t="shared" si="458"/>
        <v>301009.8</v>
      </c>
      <c r="CV115" s="36">
        <f t="shared" si="469"/>
        <v>317171.4</v>
      </c>
      <c r="CW115" s="36">
        <f t="shared" si="481"/>
        <v>333333</v>
      </c>
      <c r="CX115" s="36">
        <f t="shared" si="491"/>
        <v>351514.8</v>
      </c>
      <c r="CY115" s="36">
        <v>0</v>
      </c>
      <c r="CZ115" s="36">
        <f t="shared" si="360"/>
        <v>50058535.8</v>
      </c>
      <c r="DA115" s="38">
        <f>CZ115*(1+$E$10)^-20</f>
        <v>18866535.671041586</v>
      </c>
      <c r="DB115" s="78"/>
      <c r="DC115" s="36"/>
      <c r="DD115" s="36"/>
      <c r="DE115" s="36"/>
      <c r="DF115" s="36"/>
      <c r="DG115" s="36"/>
      <c r="DH115" s="36">
        <f t="shared" si="426"/>
        <v>193068</v>
      </c>
      <c r="DI115" s="36">
        <f t="shared" si="437"/>
        <v>201891</v>
      </c>
      <c r="DJ115" s="36">
        <f t="shared" si="448"/>
        <v>211233</v>
      </c>
      <c r="DK115" s="36">
        <f t="shared" si="459"/>
        <v>221094</v>
      </c>
      <c r="DL115" s="36">
        <f t="shared" si="470"/>
        <v>230955</v>
      </c>
      <c r="DM115" s="36">
        <f t="shared" si="471"/>
        <v>241335</v>
      </c>
      <c r="DN115" s="36">
        <f t="shared" si="492"/>
        <v>252234</v>
      </c>
      <c r="DO115" s="47">
        <f t="shared" si="500"/>
        <v>264171</v>
      </c>
      <c r="DP115" s="36"/>
      <c r="DQ115" s="36"/>
      <c r="DR115" s="36"/>
      <c r="DS115" s="36"/>
      <c r="DT115" s="36"/>
      <c r="DU115" s="36">
        <f t="shared" si="427"/>
        <v>72660</v>
      </c>
      <c r="DV115" s="36">
        <f t="shared" si="438"/>
        <v>74736</v>
      </c>
      <c r="DW115" s="36">
        <f t="shared" si="449"/>
        <v>76812</v>
      </c>
      <c r="DX115" s="36">
        <f t="shared" si="460"/>
        <v>79407</v>
      </c>
      <c r="DY115" s="36">
        <f t="shared" si="472"/>
        <v>81483</v>
      </c>
      <c r="DZ115" s="36">
        <f t="shared" si="482"/>
        <v>84078</v>
      </c>
      <c r="EA115" s="36">
        <f t="shared" si="493"/>
        <v>86673</v>
      </c>
      <c r="EB115" s="47">
        <f t="shared" si="501"/>
        <v>89268</v>
      </c>
      <c r="EC115" s="36"/>
      <c r="ED115" s="36"/>
      <c r="EE115" s="36"/>
      <c r="EF115" s="36"/>
      <c r="EG115" s="36"/>
      <c r="EH115" s="36">
        <f t="shared" si="428"/>
        <v>902022</v>
      </c>
      <c r="EI115" s="36">
        <f t="shared" si="439"/>
        <v>949251</v>
      </c>
      <c r="EJ115" s="36">
        <f t="shared" si="450"/>
        <v>998556</v>
      </c>
      <c r="EK115" s="36">
        <f t="shared" si="461"/>
        <v>1050456</v>
      </c>
      <c r="EL115" s="36">
        <f t="shared" si="473"/>
        <v>1104951</v>
      </c>
      <c r="EM115" s="36">
        <f t="shared" si="483"/>
        <v>1162560</v>
      </c>
      <c r="EN115" s="36">
        <f t="shared" si="494"/>
        <v>1222764</v>
      </c>
      <c r="EO115" s="47">
        <v>0</v>
      </c>
      <c r="EP115" s="9"/>
      <c r="EQ115" s="36"/>
      <c r="ER115" s="36"/>
      <c r="ES115" s="36"/>
      <c r="ET115" s="36"/>
      <c r="EU115" s="36">
        <f t="shared" si="429"/>
        <v>300501</v>
      </c>
      <c r="EV115" s="36">
        <f t="shared" si="440"/>
        <v>316590</v>
      </c>
      <c r="EW115" s="36">
        <f t="shared" si="451"/>
        <v>332679</v>
      </c>
      <c r="EX115" s="36">
        <f t="shared" si="462"/>
        <v>350325</v>
      </c>
      <c r="EY115" s="36">
        <f t="shared" si="474"/>
        <v>368490</v>
      </c>
      <c r="EZ115" s="36">
        <f t="shared" si="484"/>
        <v>387693</v>
      </c>
      <c r="FA115" s="36">
        <f t="shared" si="495"/>
        <v>407415</v>
      </c>
      <c r="FB115" s="47">
        <v>0</v>
      </c>
      <c r="FC115" s="36"/>
      <c r="FD115" s="36"/>
      <c r="FE115" s="36"/>
      <c r="FF115" s="36"/>
      <c r="FG115" s="36"/>
      <c r="FH115" s="36"/>
      <c r="FI115" s="36"/>
      <c r="FJ115" s="36"/>
      <c r="FK115" s="36"/>
      <c r="FL115" s="36"/>
      <c r="FM115" s="36"/>
      <c r="FN115" s="36"/>
      <c r="FO115" s="47"/>
      <c r="FP115" s="36"/>
      <c r="FQ115" s="36"/>
      <c r="FR115" s="36"/>
      <c r="FS115" s="36"/>
      <c r="FT115" s="36"/>
      <c r="FU115" s="36"/>
      <c r="FV115" s="36"/>
      <c r="FW115" s="36"/>
      <c r="FX115" s="36"/>
      <c r="FY115" s="36"/>
      <c r="FZ115" s="36"/>
      <c r="GA115" s="36"/>
      <c r="GB115" s="47"/>
      <c r="GC115" s="36"/>
      <c r="GD115" s="36"/>
      <c r="GE115" s="36"/>
      <c r="GF115" s="36"/>
      <c r="GG115" s="36"/>
      <c r="GH115" s="36">
        <f t="shared" si="430"/>
        <v>66432</v>
      </c>
      <c r="GI115" s="36">
        <f t="shared" si="441"/>
        <v>70065</v>
      </c>
      <c r="GJ115" s="36">
        <f t="shared" si="452"/>
        <v>73698</v>
      </c>
      <c r="GK115" s="36">
        <f t="shared" si="463"/>
        <v>77331</v>
      </c>
      <c r="GL115" s="36">
        <f t="shared" si="475"/>
        <v>81483</v>
      </c>
      <c r="GM115" s="36">
        <f t="shared" si="485"/>
        <v>85635</v>
      </c>
      <c r="GN115" s="36">
        <f t="shared" si="496"/>
        <v>90306</v>
      </c>
      <c r="GO115" s="47">
        <v>0</v>
      </c>
      <c r="GP115" s="36">
        <f>SUM(DC115:GO115)</f>
        <v>12860301</v>
      </c>
      <c r="GQ115" s="38">
        <f>GP115*(1+$E$11)^-20</f>
        <v>4846912.193481132</v>
      </c>
      <c r="GR115" s="38">
        <f t="shared" si="373"/>
        <v>62918836.8</v>
      </c>
      <c r="GS115" s="52">
        <f t="shared" si="361"/>
        <v>23713447.864522718</v>
      </c>
      <c r="GT115" s="9"/>
    </row>
    <row r="116" spans="1:202" ht="18">
      <c r="A116" s="9"/>
      <c r="B116" s="49">
        <v>2023</v>
      </c>
      <c r="C116" s="79" t="str">
        <f aca="true" t="shared" si="503" ref="C116:K116">C40</f>
        <v>a</v>
      </c>
      <c r="D116" s="79" t="str">
        <f t="shared" si="503"/>
        <v>a</v>
      </c>
      <c r="E116" s="79" t="str">
        <f t="shared" si="503"/>
        <v>a</v>
      </c>
      <c r="F116" s="79" t="str">
        <f t="shared" si="503"/>
        <v>a</v>
      </c>
      <c r="G116" s="79" t="str">
        <f t="shared" si="503"/>
        <v>a</v>
      </c>
      <c r="H116" s="79" t="str">
        <f t="shared" si="503"/>
        <v>a</v>
      </c>
      <c r="I116" s="79" t="str">
        <f t="shared" si="503"/>
        <v>a</v>
      </c>
      <c r="J116" s="79" t="str">
        <f t="shared" si="503"/>
        <v>a</v>
      </c>
      <c r="K116" s="80" t="str">
        <f t="shared" si="503"/>
        <v>a</v>
      </c>
      <c r="L116" s="36"/>
      <c r="M116" s="36"/>
      <c r="N116" s="36"/>
      <c r="O116" s="36"/>
      <c r="P116" s="36"/>
      <c r="Q116" s="36"/>
      <c r="R116" s="36"/>
      <c r="S116" s="36">
        <f t="shared" si="432"/>
        <v>785857.8</v>
      </c>
      <c r="T116" s="36">
        <f t="shared" si="443"/>
        <v>822221.4</v>
      </c>
      <c r="U116" s="36">
        <f t="shared" si="454"/>
        <v>860605.2000000001</v>
      </c>
      <c r="V116" s="36">
        <f t="shared" si="465"/>
        <v>898989</v>
      </c>
      <c r="W116" s="36">
        <f t="shared" si="477"/>
        <v>939393</v>
      </c>
      <c r="X116" s="36">
        <f t="shared" si="487"/>
        <v>981817.2000000001</v>
      </c>
      <c r="Y116" s="47">
        <f t="shared" si="498"/>
        <v>1028281.8</v>
      </c>
      <c r="Z116" s="36"/>
      <c r="AA116" s="36"/>
      <c r="AB116" s="36"/>
      <c r="AC116" s="36"/>
      <c r="AD116" s="36"/>
      <c r="AE116" s="36"/>
      <c r="AF116" s="36">
        <f t="shared" si="433"/>
        <v>290908.8</v>
      </c>
      <c r="AG116" s="36">
        <f t="shared" si="444"/>
        <v>298989.60000000003</v>
      </c>
      <c r="AH116" s="36">
        <f t="shared" si="455"/>
        <v>309090.60000000003</v>
      </c>
      <c r="AI116" s="36">
        <f t="shared" si="466"/>
        <v>317171.4</v>
      </c>
      <c r="AJ116" s="36">
        <f t="shared" si="478"/>
        <v>327272.4</v>
      </c>
      <c r="AK116" s="36">
        <f t="shared" si="488"/>
        <v>337373.4</v>
      </c>
      <c r="AL116" s="47">
        <f t="shared" si="499"/>
        <v>347474.4</v>
      </c>
      <c r="AM116" s="36"/>
      <c r="AN116" s="36"/>
      <c r="AO116" s="36"/>
      <c r="AP116" s="36"/>
      <c r="AQ116" s="36"/>
      <c r="AR116" s="36"/>
      <c r="AS116" s="36">
        <f t="shared" si="434"/>
        <v>3694945.8000000003</v>
      </c>
      <c r="AT116" s="36">
        <f t="shared" si="445"/>
        <v>3886864.8000000003</v>
      </c>
      <c r="AU116" s="36">
        <f t="shared" si="456"/>
        <v>4088884.8000000003</v>
      </c>
      <c r="AV116" s="36">
        <f t="shared" si="467"/>
        <v>4301005.8</v>
      </c>
      <c r="AW116" s="36">
        <f t="shared" si="479"/>
        <v>4525248</v>
      </c>
      <c r="AX116" s="36">
        <f t="shared" si="489"/>
        <v>4759591.2</v>
      </c>
      <c r="AY116" s="47">
        <v>0</v>
      </c>
      <c r="AZ116" s="36"/>
      <c r="BA116" s="36"/>
      <c r="BB116" s="36"/>
      <c r="BC116" s="36"/>
      <c r="BD116" s="36"/>
      <c r="BE116" s="36"/>
      <c r="BF116" s="36">
        <f t="shared" si="435"/>
        <v>1232322</v>
      </c>
      <c r="BG116" s="36">
        <f t="shared" si="446"/>
        <v>1294948.2</v>
      </c>
      <c r="BH116" s="36">
        <f t="shared" si="457"/>
        <v>1363635</v>
      </c>
      <c r="BI116" s="36">
        <f t="shared" si="468"/>
        <v>1434342</v>
      </c>
      <c r="BJ116" s="36">
        <f t="shared" si="480"/>
        <v>1509089.4000000001</v>
      </c>
      <c r="BK116" s="36">
        <f t="shared" si="490"/>
        <v>1585857</v>
      </c>
      <c r="BL116" s="47">
        <v>0</v>
      </c>
      <c r="BM116" s="36"/>
      <c r="BN116" s="36"/>
      <c r="BO116" s="36"/>
      <c r="BP116" s="36"/>
      <c r="BQ116" s="36"/>
      <c r="BR116" s="36"/>
      <c r="BS116" s="36"/>
      <c r="BT116" s="36"/>
      <c r="BU116" s="36"/>
      <c r="BV116" s="36"/>
      <c r="BW116" s="36"/>
      <c r="BX116" s="36"/>
      <c r="BY116" s="47"/>
      <c r="BZ116" s="36"/>
      <c r="CA116" s="36"/>
      <c r="CB116" s="36"/>
      <c r="CC116" s="36"/>
      <c r="CD116" s="36"/>
      <c r="CE116" s="36"/>
      <c r="CF116" s="36"/>
      <c r="CG116" s="36"/>
      <c r="CH116" s="36"/>
      <c r="CI116" s="36"/>
      <c r="CJ116" s="36"/>
      <c r="CK116" s="36"/>
      <c r="CL116" s="47"/>
      <c r="CM116" s="36"/>
      <c r="CN116" s="36"/>
      <c r="CO116" s="36"/>
      <c r="CP116" s="36"/>
      <c r="CQ116" s="36"/>
      <c r="CR116" s="36"/>
      <c r="CS116" s="36">
        <f t="shared" si="436"/>
        <v>272727</v>
      </c>
      <c r="CT116" s="36">
        <f t="shared" si="447"/>
        <v>286868.4</v>
      </c>
      <c r="CU116" s="36">
        <f t="shared" si="458"/>
        <v>301009.8</v>
      </c>
      <c r="CV116" s="36">
        <f t="shared" si="469"/>
        <v>317171.4</v>
      </c>
      <c r="CW116" s="36">
        <f t="shared" si="481"/>
        <v>333333</v>
      </c>
      <c r="CX116" s="36">
        <f t="shared" si="491"/>
        <v>351514.8</v>
      </c>
      <c r="CY116" s="36">
        <v>0</v>
      </c>
      <c r="CZ116" s="36">
        <f t="shared" si="360"/>
        <v>44084804.4</v>
      </c>
      <c r="DA116" s="38">
        <f>CZ116*(1+$E$10)^-21</f>
        <v>15823903.936069887</v>
      </c>
      <c r="DB116" s="78"/>
      <c r="DC116" s="36"/>
      <c r="DD116" s="36"/>
      <c r="DE116" s="36"/>
      <c r="DF116" s="36"/>
      <c r="DG116" s="36"/>
      <c r="DH116" s="36"/>
      <c r="DI116" s="36">
        <f t="shared" si="437"/>
        <v>201891</v>
      </c>
      <c r="DJ116" s="36">
        <f t="shared" si="448"/>
        <v>211233</v>
      </c>
      <c r="DK116" s="36">
        <f t="shared" si="459"/>
        <v>221094</v>
      </c>
      <c r="DL116" s="36">
        <f t="shared" si="470"/>
        <v>230955</v>
      </c>
      <c r="DM116" s="36">
        <f t="shared" si="471"/>
        <v>241335</v>
      </c>
      <c r="DN116" s="36">
        <f t="shared" si="492"/>
        <v>252234</v>
      </c>
      <c r="DO116" s="47">
        <f t="shared" si="500"/>
        <v>264171</v>
      </c>
      <c r="DP116" s="36"/>
      <c r="DQ116" s="36"/>
      <c r="DR116" s="36"/>
      <c r="DS116" s="36"/>
      <c r="DT116" s="36"/>
      <c r="DU116" s="36"/>
      <c r="DV116" s="36">
        <f t="shared" si="438"/>
        <v>74736</v>
      </c>
      <c r="DW116" s="36">
        <f t="shared" si="449"/>
        <v>76812</v>
      </c>
      <c r="DX116" s="36">
        <f t="shared" si="460"/>
        <v>79407</v>
      </c>
      <c r="DY116" s="36">
        <f t="shared" si="472"/>
        <v>81483</v>
      </c>
      <c r="DZ116" s="36">
        <f t="shared" si="482"/>
        <v>84078</v>
      </c>
      <c r="EA116" s="36">
        <f t="shared" si="493"/>
        <v>86673</v>
      </c>
      <c r="EB116" s="47">
        <f t="shared" si="501"/>
        <v>89268</v>
      </c>
      <c r="EC116" s="36"/>
      <c r="ED116" s="36"/>
      <c r="EE116" s="36"/>
      <c r="EF116" s="36"/>
      <c r="EG116" s="36"/>
      <c r="EH116" s="36"/>
      <c r="EI116" s="36">
        <f t="shared" si="439"/>
        <v>949251</v>
      </c>
      <c r="EJ116" s="36">
        <f t="shared" si="450"/>
        <v>998556</v>
      </c>
      <c r="EK116" s="36">
        <f t="shared" si="461"/>
        <v>1050456</v>
      </c>
      <c r="EL116" s="36">
        <f t="shared" si="473"/>
        <v>1104951</v>
      </c>
      <c r="EM116" s="36">
        <f t="shared" si="483"/>
        <v>1162560</v>
      </c>
      <c r="EN116" s="36">
        <f t="shared" si="494"/>
        <v>1222764</v>
      </c>
      <c r="EO116" s="47">
        <v>0</v>
      </c>
      <c r="EP116" s="9"/>
      <c r="EQ116" s="36"/>
      <c r="ER116" s="36"/>
      <c r="ES116" s="36"/>
      <c r="ET116" s="36"/>
      <c r="EU116" s="36"/>
      <c r="EV116" s="36">
        <f t="shared" si="440"/>
        <v>316590</v>
      </c>
      <c r="EW116" s="36">
        <f t="shared" si="451"/>
        <v>332679</v>
      </c>
      <c r="EX116" s="36">
        <f t="shared" si="462"/>
        <v>350325</v>
      </c>
      <c r="EY116" s="36">
        <f t="shared" si="474"/>
        <v>368490</v>
      </c>
      <c r="EZ116" s="36">
        <f t="shared" si="484"/>
        <v>387693</v>
      </c>
      <c r="FA116" s="36">
        <f t="shared" si="495"/>
        <v>407415</v>
      </c>
      <c r="FB116" s="47">
        <v>0</v>
      </c>
      <c r="FC116" s="36"/>
      <c r="FD116" s="36"/>
      <c r="FE116" s="36"/>
      <c r="FF116" s="36"/>
      <c r="FG116" s="36"/>
      <c r="FH116" s="36"/>
      <c r="FI116" s="36"/>
      <c r="FJ116" s="36"/>
      <c r="FK116" s="36"/>
      <c r="FL116" s="36"/>
      <c r="FM116" s="36"/>
      <c r="FN116" s="36"/>
      <c r="FO116" s="47"/>
      <c r="FP116" s="36"/>
      <c r="FQ116" s="36"/>
      <c r="FR116" s="36"/>
      <c r="FS116" s="36"/>
      <c r="FT116" s="36"/>
      <c r="FU116" s="36"/>
      <c r="FV116" s="36"/>
      <c r="FW116" s="36"/>
      <c r="FX116" s="36"/>
      <c r="FY116" s="36"/>
      <c r="FZ116" s="36"/>
      <c r="GA116" s="36"/>
      <c r="GB116" s="47"/>
      <c r="GC116" s="36"/>
      <c r="GD116" s="36"/>
      <c r="GE116" s="36"/>
      <c r="GF116" s="36"/>
      <c r="GG116" s="36"/>
      <c r="GH116" s="36"/>
      <c r="GI116" s="36">
        <f t="shared" si="441"/>
        <v>70065</v>
      </c>
      <c r="GJ116" s="36">
        <f t="shared" si="452"/>
        <v>73698</v>
      </c>
      <c r="GK116" s="36">
        <f t="shared" si="463"/>
        <v>77331</v>
      </c>
      <c r="GL116" s="36">
        <f t="shared" si="475"/>
        <v>81483</v>
      </c>
      <c r="GM116" s="36">
        <f t="shared" si="485"/>
        <v>85635</v>
      </c>
      <c r="GN116" s="36">
        <f t="shared" si="496"/>
        <v>90306</v>
      </c>
      <c r="GO116" s="47">
        <v>0</v>
      </c>
      <c r="GP116" s="36">
        <f>SUM(DC116:GO116)</f>
        <v>11325618</v>
      </c>
      <c r="GQ116" s="38">
        <f>GP116*(1+$E$11)^-21</f>
        <v>4065244.1059401403</v>
      </c>
      <c r="GR116" s="38">
        <f t="shared" si="373"/>
        <v>55410422.4</v>
      </c>
      <c r="GS116" s="52">
        <f t="shared" si="361"/>
        <v>19889148.042010028</v>
      </c>
      <c r="GT116" s="9"/>
    </row>
    <row r="117" spans="1:202" ht="18">
      <c r="A117" s="9"/>
      <c r="B117" s="49">
        <v>2024</v>
      </c>
      <c r="C117" s="79" t="str">
        <f aca="true" t="shared" si="504" ref="C117:K117">C41</f>
        <v>a</v>
      </c>
      <c r="D117" s="79" t="str">
        <f t="shared" si="504"/>
        <v>a</v>
      </c>
      <c r="E117" s="79" t="str">
        <f t="shared" si="504"/>
        <v>a</v>
      </c>
      <c r="F117" s="79" t="str">
        <f t="shared" si="504"/>
        <v>a</v>
      </c>
      <c r="G117" s="79" t="str">
        <f t="shared" si="504"/>
        <v>a</v>
      </c>
      <c r="H117" s="79" t="str">
        <f t="shared" si="504"/>
        <v>a</v>
      </c>
      <c r="I117" s="79" t="str">
        <f t="shared" si="504"/>
        <v>a</v>
      </c>
      <c r="J117" s="79" t="str">
        <f t="shared" si="504"/>
        <v>a</v>
      </c>
      <c r="K117" s="80" t="str">
        <f t="shared" si="504"/>
        <v>a</v>
      </c>
      <c r="L117" s="36"/>
      <c r="M117" s="36"/>
      <c r="N117" s="36"/>
      <c r="O117" s="36"/>
      <c r="P117" s="36"/>
      <c r="Q117" s="36"/>
      <c r="R117" s="36"/>
      <c r="S117" s="36"/>
      <c r="T117" s="36">
        <f t="shared" si="443"/>
        <v>822221.4</v>
      </c>
      <c r="U117" s="36">
        <f t="shared" si="454"/>
        <v>860605.2000000001</v>
      </c>
      <c r="V117" s="36">
        <f t="shared" si="465"/>
        <v>898989</v>
      </c>
      <c r="W117" s="36">
        <f t="shared" si="477"/>
        <v>939393</v>
      </c>
      <c r="X117" s="36">
        <f t="shared" si="487"/>
        <v>981817.2000000001</v>
      </c>
      <c r="Y117" s="47">
        <f t="shared" si="498"/>
        <v>1028281.8</v>
      </c>
      <c r="Z117" s="36"/>
      <c r="AA117" s="36"/>
      <c r="AB117" s="36"/>
      <c r="AC117" s="36"/>
      <c r="AD117" s="36"/>
      <c r="AE117" s="36"/>
      <c r="AF117" s="36"/>
      <c r="AG117" s="36">
        <f t="shared" si="444"/>
        <v>298989.60000000003</v>
      </c>
      <c r="AH117" s="36">
        <f t="shared" si="455"/>
        <v>309090.60000000003</v>
      </c>
      <c r="AI117" s="36">
        <f t="shared" si="466"/>
        <v>317171.4</v>
      </c>
      <c r="AJ117" s="36">
        <f t="shared" si="478"/>
        <v>327272.4</v>
      </c>
      <c r="AK117" s="36">
        <f t="shared" si="488"/>
        <v>337373.4</v>
      </c>
      <c r="AL117" s="47">
        <f t="shared" si="499"/>
        <v>347474.4</v>
      </c>
      <c r="AM117" s="36"/>
      <c r="AN117" s="36"/>
      <c r="AO117" s="36"/>
      <c r="AP117" s="36"/>
      <c r="AQ117" s="36"/>
      <c r="AR117" s="36"/>
      <c r="AS117" s="36"/>
      <c r="AT117" s="36">
        <f t="shared" si="445"/>
        <v>3886864.8000000003</v>
      </c>
      <c r="AU117" s="36">
        <f t="shared" si="456"/>
        <v>4088884.8000000003</v>
      </c>
      <c r="AV117" s="36">
        <f t="shared" si="467"/>
        <v>4301005.8</v>
      </c>
      <c r="AW117" s="36">
        <f t="shared" si="479"/>
        <v>4525248</v>
      </c>
      <c r="AX117" s="36">
        <f t="shared" si="489"/>
        <v>4759591.2</v>
      </c>
      <c r="AY117" s="47">
        <v>0</v>
      </c>
      <c r="AZ117" s="36"/>
      <c r="BA117" s="36"/>
      <c r="BB117" s="36"/>
      <c r="BC117" s="36"/>
      <c r="BD117" s="36"/>
      <c r="BE117" s="36"/>
      <c r="BF117" s="36"/>
      <c r="BG117" s="36">
        <f t="shared" si="446"/>
        <v>1294948.2</v>
      </c>
      <c r="BH117" s="36">
        <f t="shared" si="457"/>
        <v>1363635</v>
      </c>
      <c r="BI117" s="36">
        <f t="shared" si="468"/>
        <v>1434342</v>
      </c>
      <c r="BJ117" s="36">
        <f t="shared" si="480"/>
        <v>1509089.4000000001</v>
      </c>
      <c r="BK117" s="36">
        <f t="shared" si="490"/>
        <v>1585857</v>
      </c>
      <c r="BL117" s="47">
        <v>0</v>
      </c>
      <c r="BM117" s="36"/>
      <c r="BN117" s="36"/>
      <c r="BO117" s="36"/>
      <c r="BP117" s="36"/>
      <c r="BQ117" s="36"/>
      <c r="BR117" s="36"/>
      <c r="BS117" s="36"/>
      <c r="BT117" s="36"/>
      <c r="BU117" s="36"/>
      <c r="BV117" s="36"/>
      <c r="BW117" s="36"/>
      <c r="BX117" s="36"/>
      <c r="BY117" s="47"/>
      <c r="BZ117" s="36"/>
      <c r="CA117" s="36"/>
      <c r="CB117" s="36"/>
      <c r="CC117" s="36"/>
      <c r="CD117" s="36"/>
      <c r="CE117" s="36"/>
      <c r="CF117" s="36"/>
      <c r="CG117" s="36"/>
      <c r="CH117" s="36"/>
      <c r="CI117" s="36"/>
      <c r="CJ117" s="36"/>
      <c r="CK117" s="36"/>
      <c r="CL117" s="47"/>
      <c r="CM117" s="36"/>
      <c r="CN117" s="36"/>
      <c r="CO117" s="36"/>
      <c r="CP117" s="36"/>
      <c r="CQ117" s="36"/>
      <c r="CR117" s="36"/>
      <c r="CS117" s="36"/>
      <c r="CT117" s="36">
        <f t="shared" si="447"/>
        <v>286868.4</v>
      </c>
      <c r="CU117" s="36">
        <f t="shared" si="458"/>
        <v>301009.8</v>
      </c>
      <c r="CV117" s="36">
        <f t="shared" si="469"/>
        <v>317171.4</v>
      </c>
      <c r="CW117" s="36">
        <f t="shared" si="481"/>
        <v>333333</v>
      </c>
      <c r="CX117" s="36">
        <f t="shared" si="491"/>
        <v>351514.8</v>
      </c>
      <c r="CY117" s="36">
        <v>0</v>
      </c>
      <c r="CZ117" s="36">
        <f t="shared" si="360"/>
        <v>37808042.99999999</v>
      </c>
      <c r="DA117" s="38">
        <f>CZ117*(1+$E$10)^-22</f>
        <v>12924674.625587456</v>
      </c>
      <c r="DB117" s="78"/>
      <c r="DC117" s="36"/>
      <c r="DD117" s="36"/>
      <c r="DE117" s="36"/>
      <c r="DF117" s="36"/>
      <c r="DG117" s="36"/>
      <c r="DH117" s="36"/>
      <c r="DI117" s="36"/>
      <c r="DJ117" s="36">
        <f t="shared" si="448"/>
        <v>211233</v>
      </c>
      <c r="DK117" s="36">
        <f t="shared" si="459"/>
        <v>221094</v>
      </c>
      <c r="DL117" s="36">
        <f t="shared" si="470"/>
        <v>230955</v>
      </c>
      <c r="DM117" s="36">
        <f t="shared" si="471"/>
        <v>241335</v>
      </c>
      <c r="DN117" s="36">
        <f t="shared" si="492"/>
        <v>252234</v>
      </c>
      <c r="DO117" s="47">
        <f t="shared" si="500"/>
        <v>264171</v>
      </c>
      <c r="DP117" s="36"/>
      <c r="DQ117" s="36"/>
      <c r="DR117" s="36"/>
      <c r="DS117" s="36"/>
      <c r="DT117" s="36"/>
      <c r="DU117" s="36"/>
      <c r="DV117" s="36"/>
      <c r="DW117" s="36">
        <f t="shared" si="449"/>
        <v>76812</v>
      </c>
      <c r="DX117" s="36">
        <f t="shared" si="460"/>
        <v>79407</v>
      </c>
      <c r="DY117" s="36">
        <f t="shared" si="472"/>
        <v>81483</v>
      </c>
      <c r="DZ117" s="36">
        <f t="shared" si="482"/>
        <v>84078</v>
      </c>
      <c r="EA117" s="36">
        <f t="shared" si="493"/>
        <v>86673</v>
      </c>
      <c r="EB117" s="47">
        <f t="shared" si="501"/>
        <v>89268</v>
      </c>
      <c r="EC117" s="36"/>
      <c r="ED117" s="36"/>
      <c r="EE117" s="36"/>
      <c r="EF117" s="36"/>
      <c r="EG117" s="36"/>
      <c r="EH117" s="36"/>
      <c r="EI117" s="36"/>
      <c r="EJ117" s="36">
        <f t="shared" si="450"/>
        <v>998556</v>
      </c>
      <c r="EK117" s="36">
        <f t="shared" si="461"/>
        <v>1050456</v>
      </c>
      <c r="EL117" s="36">
        <f t="shared" si="473"/>
        <v>1104951</v>
      </c>
      <c r="EM117" s="36">
        <f t="shared" si="483"/>
        <v>1162560</v>
      </c>
      <c r="EN117" s="36">
        <f t="shared" si="494"/>
        <v>1222764</v>
      </c>
      <c r="EO117" s="47">
        <v>0</v>
      </c>
      <c r="EP117" s="9"/>
      <c r="EQ117" s="36"/>
      <c r="ER117" s="36"/>
      <c r="ES117" s="36"/>
      <c r="ET117" s="36"/>
      <c r="EU117" s="36"/>
      <c r="EV117" s="36"/>
      <c r="EW117" s="36">
        <f t="shared" si="451"/>
        <v>332679</v>
      </c>
      <c r="EX117" s="36">
        <f t="shared" si="462"/>
        <v>350325</v>
      </c>
      <c r="EY117" s="36">
        <f t="shared" si="474"/>
        <v>368490</v>
      </c>
      <c r="EZ117" s="36">
        <f t="shared" si="484"/>
        <v>387693</v>
      </c>
      <c r="FA117" s="36">
        <f t="shared" si="495"/>
        <v>407415</v>
      </c>
      <c r="FB117" s="47">
        <v>0</v>
      </c>
      <c r="FC117" s="36"/>
      <c r="FD117" s="36"/>
      <c r="FE117" s="36"/>
      <c r="FF117" s="36"/>
      <c r="FG117" s="36"/>
      <c r="FH117" s="36"/>
      <c r="FI117" s="36"/>
      <c r="FJ117" s="36"/>
      <c r="FK117" s="36"/>
      <c r="FL117" s="36"/>
      <c r="FM117" s="36"/>
      <c r="FN117" s="36"/>
      <c r="FO117" s="47"/>
      <c r="FP117" s="36"/>
      <c r="FQ117" s="36"/>
      <c r="FR117" s="36"/>
      <c r="FS117" s="36"/>
      <c r="FT117" s="36"/>
      <c r="FU117" s="36"/>
      <c r="FV117" s="36"/>
      <c r="FW117" s="36"/>
      <c r="FX117" s="36"/>
      <c r="FY117" s="36"/>
      <c r="FZ117" s="36"/>
      <c r="GA117" s="36"/>
      <c r="GB117" s="47"/>
      <c r="GC117" s="36"/>
      <c r="GD117" s="36"/>
      <c r="GE117" s="36"/>
      <c r="GF117" s="36"/>
      <c r="GG117" s="36"/>
      <c r="GH117" s="36"/>
      <c r="GI117" s="36"/>
      <c r="GJ117" s="36">
        <f t="shared" si="452"/>
        <v>73698</v>
      </c>
      <c r="GK117" s="36">
        <f t="shared" si="463"/>
        <v>77331</v>
      </c>
      <c r="GL117" s="36">
        <f t="shared" si="475"/>
        <v>81483</v>
      </c>
      <c r="GM117" s="36">
        <f t="shared" si="485"/>
        <v>85635</v>
      </c>
      <c r="GN117" s="36">
        <f t="shared" si="496"/>
        <v>90306</v>
      </c>
      <c r="GO117" s="47">
        <v>0</v>
      </c>
      <c r="GP117" s="36">
        <f>SUM(DC117:GO117)</f>
        <v>9713085</v>
      </c>
      <c r="GQ117" s="38">
        <f>GP117*(1+$E$11)^-22</f>
        <v>3320416.855103401</v>
      </c>
      <c r="GR117" s="38">
        <f t="shared" si="373"/>
        <v>47521127.99999999</v>
      </c>
      <c r="GS117" s="52">
        <f t="shared" si="361"/>
        <v>16245091.480690857</v>
      </c>
      <c r="GT117" s="9"/>
    </row>
    <row r="118" spans="1:202" ht="18">
      <c r="A118" s="9"/>
      <c r="B118" s="49">
        <v>2025</v>
      </c>
      <c r="C118" s="79" t="str">
        <f aca="true" t="shared" si="505" ref="C118:K118">C42</f>
        <v>a</v>
      </c>
      <c r="D118" s="79" t="str">
        <f t="shared" si="505"/>
        <v>a</v>
      </c>
      <c r="E118" s="79" t="str">
        <f t="shared" si="505"/>
        <v>a</v>
      </c>
      <c r="F118" s="79" t="str">
        <f t="shared" si="505"/>
        <v>a</v>
      </c>
      <c r="G118" s="79" t="str">
        <f t="shared" si="505"/>
        <v>a</v>
      </c>
      <c r="H118" s="79" t="str">
        <f t="shared" si="505"/>
        <v>a</v>
      </c>
      <c r="I118" s="79" t="str">
        <f t="shared" si="505"/>
        <v>a</v>
      </c>
      <c r="J118" s="79" t="str">
        <f t="shared" si="505"/>
        <v>a</v>
      </c>
      <c r="K118" s="80" t="str">
        <f t="shared" si="505"/>
        <v>a</v>
      </c>
      <c r="L118" s="36"/>
      <c r="M118" s="36"/>
      <c r="N118" s="36"/>
      <c r="O118" s="36"/>
      <c r="P118" s="36"/>
      <c r="Q118" s="36"/>
      <c r="R118" s="36"/>
      <c r="S118" s="36"/>
      <c r="T118" s="36"/>
      <c r="U118" s="36">
        <f t="shared" si="454"/>
        <v>860605.2000000001</v>
      </c>
      <c r="V118" s="36">
        <f t="shared" si="465"/>
        <v>898989</v>
      </c>
      <c r="W118" s="36">
        <f t="shared" si="477"/>
        <v>939393</v>
      </c>
      <c r="X118" s="36">
        <f t="shared" si="487"/>
        <v>981817.2000000001</v>
      </c>
      <c r="Y118" s="47">
        <f t="shared" si="498"/>
        <v>1028281.8</v>
      </c>
      <c r="Z118" s="36"/>
      <c r="AA118" s="36"/>
      <c r="AB118" s="36"/>
      <c r="AC118" s="36"/>
      <c r="AD118" s="36"/>
      <c r="AE118" s="36"/>
      <c r="AF118" s="36"/>
      <c r="AG118" s="36"/>
      <c r="AH118" s="36">
        <f t="shared" si="455"/>
        <v>309090.60000000003</v>
      </c>
      <c r="AI118" s="36">
        <f t="shared" si="466"/>
        <v>317171.4</v>
      </c>
      <c r="AJ118" s="36">
        <f t="shared" si="478"/>
        <v>327272.4</v>
      </c>
      <c r="AK118" s="36">
        <f t="shared" si="488"/>
        <v>337373.4</v>
      </c>
      <c r="AL118" s="47">
        <f t="shared" si="499"/>
        <v>347474.4</v>
      </c>
      <c r="AM118" s="36"/>
      <c r="AN118" s="36"/>
      <c r="AO118" s="36"/>
      <c r="AP118" s="36"/>
      <c r="AQ118" s="36"/>
      <c r="AR118" s="36"/>
      <c r="AS118" s="36"/>
      <c r="AT118" s="36"/>
      <c r="AU118" s="36">
        <f t="shared" si="456"/>
        <v>4088884.8000000003</v>
      </c>
      <c r="AV118" s="36">
        <f t="shared" si="467"/>
        <v>4301005.8</v>
      </c>
      <c r="AW118" s="36">
        <f t="shared" si="479"/>
        <v>4525248</v>
      </c>
      <c r="AX118" s="36">
        <f t="shared" si="489"/>
        <v>4759591.2</v>
      </c>
      <c r="AY118" s="47">
        <v>0</v>
      </c>
      <c r="AZ118" s="36"/>
      <c r="BA118" s="36"/>
      <c r="BB118" s="36"/>
      <c r="BC118" s="36"/>
      <c r="BD118" s="36"/>
      <c r="BE118" s="36"/>
      <c r="BF118" s="36"/>
      <c r="BG118" s="36"/>
      <c r="BH118" s="36">
        <f t="shared" si="457"/>
        <v>1363635</v>
      </c>
      <c r="BI118" s="36">
        <f t="shared" si="468"/>
        <v>1434342</v>
      </c>
      <c r="BJ118" s="36">
        <f t="shared" si="480"/>
        <v>1509089.4000000001</v>
      </c>
      <c r="BK118" s="36">
        <f t="shared" si="490"/>
        <v>1585857</v>
      </c>
      <c r="BL118" s="47">
        <v>0</v>
      </c>
      <c r="BM118" s="36"/>
      <c r="BN118" s="36"/>
      <c r="BO118" s="36"/>
      <c r="BP118" s="36"/>
      <c r="BQ118" s="36"/>
      <c r="BR118" s="36"/>
      <c r="BS118" s="36"/>
      <c r="BT118" s="36"/>
      <c r="BU118" s="36"/>
      <c r="BV118" s="36"/>
      <c r="BW118" s="36"/>
      <c r="BX118" s="36"/>
      <c r="BY118" s="47"/>
      <c r="BZ118" s="36"/>
      <c r="CA118" s="36"/>
      <c r="CB118" s="36"/>
      <c r="CC118" s="36"/>
      <c r="CD118" s="36"/>
      <c r="CE118" s="36"/>
      <c r="CF118" s="36"/>
      <c r="CG118" s="36"/>
      <c r="CH118" s="36"/>
      <c r="CI118" s="36"/>
      <c r="CJ118" s="36"/>
      <c r="CK118" s="36"/>
      <c r="CL118" s="47"/>
      <c r="CM118" s="36"/>
      <c r="CN118" s="36"/>
      <c r="CO118" s="36"/>
      <c r="CP118" s="36"/>
      <c r="CQ118" s="36"/>
      <c r="CR118" s="36"/>
      <c r="CS118" s="36"/>
      <c r="CT118" s="36"/>
      <c r="CU118" s="36">
        <f t="shared" si="458"/>
        <v>301009.8</v>
      </c>
      <c r="CV118" s="36">
        <f t="shared" si="469"/>
        <v>317171.4</v>
      </c>
      <c r="CW118" s="36">
        <f t="shared" si="481"/>
        <v>333333</v>
      </c>
      <c r="CX118" s="36">
        <f t="shared" si="491"/>
        <v>351514.8</v>
      </c>
      <c r="CY118" s="36">
        <v>0</v>
      </c>
      <c r="CZ118" s="36">
        <f t="shared" si="360"/>
        <v>31218150.599999998</v>
      </c>
      <c r="DA118" s="38">
        <f>CZ118*(1+$E$10)^-23</f>
        <v>10163734.055402614</v>
      </c>
      <c r="DB118" s="78"/>
      <c r="DC118" s="36"/>
      <c r="DD118" s="36"/>
      <c r="DE118" s="36"/>
      <c r="DF118" s="36"/>
      <c r="DG118" s="36"/>
      <c r="DH118" s="36"/>
      <c r="DI118" s="36"/>
      <c r="DJ118" s="36"/>
      <c r="DK118" s="36">
        <f t="shared" si="459"/>
        <v>221094</v>
      </c>
      <c r="DL118" s="36">
        <f t="shared" si="470"/>
        <v>230955</v>
      </c>
      <c r="DM118" s="36">
        <f t="shared" si="471"/>
        <v>241335</v>
      </c>
      <c r="DN118" s="36">
        <f t="shared" si="492"/>
        <v>252234</v>
      </c>
      <c r="DO118" s="47">
        <f t="shared" si="500"/>
        <v>264171</v>
      </c>
      <c r="DP118" s="36"/>
      <c r="DQ118" s="36"/>
      <c r="DR118" s="36"/>
      <c r="DS118" s="36"/>
      <c r="DT118" s="36"/>
      <c r="DU118" s="36"/>
      <c r="DV118" s="36"/>
      <c r="DW118" s="36"/>
      <c r="DX118" s="36">
        <f t="shared" si="460"/>
        <v>79407</v>
      </c>
      <c r="DY118" s="36">
        <f t="shared" si="472"/>
        <v>81483</v>
      </c>
      <c r="DZ118" s="36">
        <f t="shared" si="482"/>
        <v>84078</v>
      </c>
      <c r="EA118" s="36">
        <f t="shared" si="493"/>
        <v>86673</v>
      </c>
      <c r="EB118" s="47">
        <f t="shared" si="501"/>
        <v>89268</v>
      </c>
      <c r="EC118" s="36"/>
      <c r="ED118" s="36"/>
      <c r="EE118" s="36"/>
      <c r="EF118" s="36"/>
      <c r="EG118" s="36"/>
      <c r="EH118" s="36"/>
      <c r="EI118" s="36"/>
      <c r="EJ118" s="36"/>
      <c r="EK118" s="36">
        <f t="shared" si="461"/>
        <v>1050456</v>
      </c>
      <c r="EL118" s="36">
        <f t="shared" si="473"/>
        <v>1104951</v>
      </c>
      <c r="EM118" s="36">
        <f t="shared" si="483"/>
        <v>1162560</v>
      </c>
      <c r="EN118" s="36">
        <f t="shared" si="494"/>
        <v>1222764</v>
      </c>
      <c r="EO118" s="47">
        <v>0</v>
      </c>
      <c r="EP118" s="9"/>
      <c r="EQ118" s="36"/>
      <c r="ER118" s="36"/>
      <c r="ES118" s="36"/>
      <c r="ET118" s="36"/>
      <c r="EU118" s="36"/>
      <c r="EV118" s="36"/>
      <c r="EW118" s="36"/>
      <c r="EX118" s="36">
        <f t="shared" si="462"/>
        <v>350325</v>
      </c>
      <c r="EY118" s="36">
        <f t="shared" si="474"/>
        <v>368490</v>
      </c>
      <c r="EZ118" s="36">
        <f t="shared" si="484"/>
        <v>387693</v>
      </c>
      <c r="FA118" s="36">
        <f t="shared" si="495"/>
        <v>407415</v>
      </c>
      <c r="FB118" s="47">
        <v>0</v>
      </c>
      <c r="FC118" s="36"/>
      <c r="FD118" s="36"/>
      <c r="FE118" s="36"/>
      <c r="FF118" s="36"/>
      <c r="FG118" s="36"/>
      <c r="FH118" s="36"/>
      <c r="FI118" s="36"/>
      <c r="FJ118" s="36"/>
      <c r="FK118" s="36"/>
      <c r="FL118" s="36"/>
      <c r="FM118" s="36"/>
      <c r="FN118" s="36"/>
      <c r="FO118" s="47"/>
      <c r="FP118" s="36"/>
      <c r="FQ118" s="36"/>
      <c r="FR118" s="36"/>
      <c r="FS118" s="36"/>
      <c r="FT118" s="36"/>
      <c r="FU118" s="36"/>
      <c r="FV118" s="36"/>
      <c r="FW118" s="36"/>
      <c r="FX118" s="36"/>
      <c r="FY118" s="36"/>
      <c r="FZ118" s="36"/>
      <c r="GA118" s="36"/>
      <c r="GB118" s="47"/>
      <c r="GC118" s="36"/>
      <c r="GD118" s="36"/>
      <c r="GE118" s="36"/>
      <c r="GF118" s="36"/>
      <c r="GG118" s="36"/>
      <c r="GH118" s="36"/>
      <c r="GI118" s="36"/>
      <c r="GJ118" s="36"/>
      <c r="GK118" s="36">
        <f t="shared" si="463"/>
        <v>77331</v>
      </c>
      <c r="GL118" s="36">
        <f t="shared" si="475"/>
        <v>81483</v>
      </c>
      <c r="GM118" s="36">
        <f t="shared" si="485"/>
        <v>85635</v>
      </c>
      <c r="GN118" s="36">
        <f t="shared" si="496"/>
        <v>90306</v>
      </c>
      <c r="GO118" s="47">
        <v>0</v>
      </c>
      <c r="GP118" s="36">
        <f>SUM(DC118:GO118)</f>
        <v>8020107</v>
      </c>
      <c r="GQ118" s="38">
        <f>GP118*(1+$E$11)^-23</f>
        <v>2611116.7086199173</v>
      </c>
      <c r="GR118" s="38">
        <f t="shared" si="373"/>
        <v>39238257.599999994</v>
      </c>
      <c r="GS118" s="52">
        <f t="shared" si="361"/>
        <v>12774850.764022531</v>
      </c>
      <c r="GT118" s="9"/>
    </row>
    <row r="119" spans="1:202" ht="18">
      <c r="A119" s="9"/>
      <c r="B119" s="49">
        <v>2026</v>
      </c>
      <c r="C119" s="79" t="str">
        <f aca="true" t="shared" si="506" ref="C119:K119">C43</f>
        <v>a</v>
      </c>
      <c r="D119" s="79" t="str">
        <f t="shared" si="506"/>
        <v>a</v>
      </c>
      <c r="E119" s="79" t="str">
        <f t="shared" si="506"/>
        <v>a</v>
      </c>
      <c r="F119" s="79" t="str">
        <f t="shared" si="506"/>
        <v>a</v>
      </c>
      <c r="G119" s="79" t="str">
        <f t="shared" si="506"/>
        <v>a</v>
      </c>
      <c r="H119" s="79" t="str">
        <f t="shared" si="506"/>
        <v>a</v>
      </c>
      <c r="I119" s="79" t="str">
        <f t="shared" si="506"/>
        <v>a</v>
      </c>
      <c r="J119" s="79" t="str">
        <f t="shared" si="506"/>
        <v>a</v>
      </c>
      <c r="K119" s="80" t="str">
        <f t="shared" si="506"/>
        <v>a</v>
      </c>
      <c r="L119" s="36"/>
      <c r="M119" s="36"/>
      <c r="N119" s="36"/>
      <c r="O119" s="36"/>
      <c r="P119" s="36"/>
      <c r="Q119" s="36"/>
      <c r="R119" s="36"/>
      <c r="S119" s="36"/>
      <c r="T119" s="36"/>
      <c r="U119" s="36"/>
      <c r="V119" s="36">
        <f t="shared" si="465"/>
        <v>898989</v>
      </c>
      <c r="W119" s="36">
        <f t="shared" si="477"/>
        <v>939393</v>
      </c>
      <c r="X119" s="36">
        <f t="shared" si="487"/>
        <v>981817.2000000001</v>
      </c>
      <c r="Y119" s="47">
        <f t="shared" si="498"/>
        <v>1028281.8</v>
      </c>
      <c r="Z119" s="36"/>
      <c r="AA119" s="36"/>
      <c r="AB119" s="36"/>
      <c r="AC119" s="36"/>
      <c r="AD119" s="36"/>
      <c r="AE119" s="36"/>
      <c r="AF119" s="36"/>
      <c r="AG119" s="36"/>
      <c r="AH119" s="36"/>
      <c r="AI119" s="36">
        <f t="shared" si="466"/>
        <v>317171.4</v>
      </c>
      <c r="AJ119" s="36">
        <f t="shared" si="478"/>
        <v>327272.4</v>
      </c>
      <c r="AK119" s="36">
        <f t="shared" si="488"/>
        <v>337373.4</v>
      </c>
      <c r="AL119" s="47">
        <f t="shared" si="499"/>
        <v>347474.4</v>
      </c>
      <c r="AM119" s="36"/>
      <c r="AN119" s="36"/>
      <c r="AO119" s="36"/>
      <c r="AP119" s="36"/>
      <c r="AQ119" s="36"/>
      <c r="AR119" s="36"/>
      <c r="AS119" s="36"/>
      <c r="AT119" s="36"/>
      <c r="AU119" s="36"/>
      <c r="AV119" s="36">
        <f t="shared" si="467"/>
        <v>4301005.8</v>
      </c>
      <c r="AW119" s="36">
        <f t="shared" si="479"/>
        <v>4525248</v>
      </c>
      <c r="AX119" s="36">
        <f t="shared" si="489"/>
        <v>4759591.2</v>
      </c>
      <c r="AY119" s="47">
        <v>0</v>
      </c>
      <c r="AZ119" s="36"/>
      <c r="BA119" s="36"/>
      <c r="BB119" s="36"/>
      <c r="BC119" s="36"/>
      <c r="BD119" s="36"/>
      <c r="BE119" s="36"/>
      <c r="BF119" s="36"/>
      <c r="BG119" s="36"/>
      <c r="BH119" s="36"/>
      <c r="BI119" s="36">
        <f t="shared" si="468"/>
        <v>1434342</v>
      </c>
      <c r="BJ119" s="36">
        <f t="shared" si="480"/>
        <v>1509089.4000000001</v>
      </c>
      <c r="BK119" s="36">
        <f t="shared" si="490"/>
        <v>1585857</v>
      </c>
      <c r="BL119" s="47">
        <v>0</v>
      </c>
      <c r="BM119" s="36"/>
      <c r="BN119" s="36"/>
      <c r="BO119" s="36"/>
      <c r="BP119" s="36"/>
      <c r="BQ119" s="36"/>
      <c r="BR119" s="36"/>
      <c r="BS119" s="36"/>
      <c r="BT119" s="36"/>
      <c r="BU119" s="36"/>
      <c r="BV119" s="36"/>
      <c r="BW119" s="36"/>
      <c r="BX119" s="36"/>
      <c r="BY119" s="47"/>
      <c r="BZ119" s="36"/>
      <c r="CA119" s="36"/>
      <c r="CB119" s="36"/>
      <c r="CC119" s="36"/>
      <c r="CD119" s="36"/>
      <c r="CE119" s="36"/>
      <c r="CF119" s="36"/>
      <c r="CG119" s="36"/>
      <c r="CH119" s="36"/>
      <c r="CI119" s="36"/>
      <c r="CJ119" s="36"/>
      <c r="CK119" s="36"/>
      <c r="CL119" s="47"/>
      <c r="CM119" s="36"/>
      <c r="CN119" s="36"/>
      <c r="CO119" s="36"/>
      <c r="CP119" s="36"/>
      <c r="CQ119" s="36"/>
      <c r="CR119" s="36"/>
      <c r="CS119" s="36"/>
      <c r="CT119" s="36"/>
      <c r="CU119" s="36"/>
      <c r="CV119" s="36">
        <f t="shared" si="469"/>
        <v>317171.4</v>
      </c>
      <c r="CW119" s="36">
        <f t="shared" si="481"/>
        <v>333333</v>
      </c>
      <c r="CX119" s="36">
        <f t="shared" si="491"/>
        <v>351514.8</v>
      </c>
      <c r="CY119" s="36">
        <v>0</v>
      </c>
      <c r="CZ119" s="36">
        <f t="shared" si="360"/>
        <v>24294925.2</v>
      </c>
      <c r="DA119" s="38">
        <f>CZ119*(1+$E$10)^-24</f>
        <v>7533076.687237298</v>
      </c>
      <c r="DB119" s="78"/>
      <c r="DC119" s="36"/>
      <c r="DD119" s="36"/>
      <c r="DE119" s="36"/>
      <c r="DF119" s="36"/>
      <c r="DG119" s="36"/>
      <c r="DH119" s="36"/>
      <c r="DI119" s="36"/>
      <c r="DJ119" s="36"/>
      <c r="DK119" s="36"/>
      <c r="DL119" s="36">
        <f t="shared" si="470"/>
        <v>230955</v>
      </c>
      <c r="DM119" s="36">
        <f t="shared" si="471"/>
        <v>241335</v>
      </c>
      <c r="DN119" s="36">
        <f t="shared" si="492"/>
        <v>252234</v>
      </c>
      <c r="DO119" s="47">
        <f t="shared" si="500"/>
        <v>264171</v>
      </c>
      <c r="DP119" s="36"/>
      <c r="DQ119" s="36"/>
      <c r="DR119" s="36"/>
      <c r="DS119" s="36"/>
      <c r="DT119" s="36"/>
      <c r="DU119" s="36"/>
      <c r="DV119" s="36"/>
      <c r="DW119" s="36"/>
      <c r="DX119" s="36"/>
      <c r="DY119" s="36">
        <f t="shared" si="472"/>
        <v>81483</v>
      </c>
      <c r="DZ119" s="36">
        <f t="shared" si="482"/>
        <v>84078</v>
      </c>
      <c r="EA119" s="36">
        <f t="shared" si="493"/>
        <v>86673</v>
      </c>
      <c r="EB119" s="47">
        <f t="shared" si="501"/>
        <v>89268</v>
      </c>
      <c r="EC119" s="36"/>
      <c r="ED119" s="36"/>
      <c r="EE119" s="36"/>
      <c r="EF119" s="36"/>
      <c r="EG119" s="36"/>
      <c r="EH119" s="36"/>
      <c r="EI119" s="36"/>
      <c r="EJ119" s="36"/>
      <c r="EK119" s="36"/>
      <c r="EL119" s="36">
        <f t="shared" si="473"/>
        <v>1104951</v>
      </c>
      <c r="EM119" s="36">
        <f t="shared" si="483"/>
        <v>1162560</v>
      </c>
      <c r="EN119" s="36">
        <f t="shared" si="494"/>
        <v>1222764</v>
      </c>
      <c r="EO119" s="47">
        <v>0</v>
      </c>
      <c r="EP119" s="9"/>
      <c r="EQ119" s="36"/>
      <c r="ER119" s="36"/>
      <c r="ES119" s="36"/>
      <c r="ET119" s="36"/>
      <c r="EU119" s="36"/>
      <c r="EV119" s="36"/>
      <c r="EW119" s="36"/>
      <c r="EX119" s="36"/>
      <c r="EY119" s="36">
        <f t="shared" si="474"/>
        <v>368490</v>
      </c>
      <c r="EZ119" s="36">
        <f t="shared" si="484"/>
        <v>387693</v>
      </c>
      <c r="FA119" s="36">
        <f t="shared" si="495"/>
        <v>407415</v>
      </c>
      <c r="FB119" s="47">
        <v>0</v>
      </c>
      <c r="FC119" s="36"/>
      <c r="FD119" s="36"/>
      <c r="FE119" s="36"/>
      <c r="FF119" s="36"/>
      <c r="FG119" s="36"/>
      <c r="FH119" s="36"/>
      <c r="FI119" s="36"/>
      <c r="FJ119" s="36"/>
      <c r="FK119" s="36"/>
      <c r="FL119" s="36"/>
      <c r="FM119" s="36"/>
      <c r="FN119" s="36"/>
      <c r="FO119" s="47"/>
      <c r="FP119" s="36"/>
      <c r="FQ119" s="36"/>
      <c r="FR119" s="36"/>
      <c r="FS119" s="36"/>
      <c r="FT119" s="36"/>
      <c r="FU119" s="36"/>
      <c r="FV119" s="36"/>
      <c r="FW119" s="36"/>
      <c r="FX119" s="36"/>
      <c r="FY119" s="36"/>
      <c r="FZ119" s="36"/>
      <c r="GA119" s="36"/>
      <c r="GB119" s="47"/>
      <c r="GC119" s="36"/>
      <c r="GD119" s="36"/>
      <c r="GE119" s="36"/>
      <c r="GF119" s="36"/>
      <c r="GG119" s="36"/>
      <c r="GH119" s="36"/>
      <c r="GI119" s="36"/>
      <c r="GJ119" s="36"/>
      <c r="GK119" s="36"/>
      <c r="GL119" s="36">
        <f t="shared" si="475"/>
        <v>81483</v>
      </c>
      <c r="GM119" s="36">
        <f t="shared" si="485"/>
        <v>85635</v>
      </c>
      <c r="GN119" s="36">
        <f t="shared" si="496"/>
        <v>90306</v>
      </c>
      <c r="GO119" s="47">
        <v>0</v>
      </c>
      <c r="GP119" s="36">
        <f>SUM(DC119:GO119)</f>
        <v>6241494</v>
      </c>
      <c r="GQ119" s="38">
        <f>GP119*(1+$E$11)^-24</f>
        <v>1935287.0016216997</v>
      </c>
      <c r="GR119" s="38">
        <f t="shared" si="373"/>
        <v>30536419.2</v>
      </c>
      <c r="GS119" s="52">
        <f t="shared" si="361"/>
        <v>9468363.688858997</v>
      </c>
      <c r="GT119" s="9"/>
    </row>
    <row r="120" spans="1:202" ht="18">
      <c r="A120" s="9"/>
      <c r="B120" s="49">
        <v>2027</v>
      </c>
      <c r="C120" s="79" t="str">
        <f aca="true" t="shared" si="507" ref="C120:K120">C44</f>
        <v>a</v>
      </c>
      <c r="D120" s="79" t="str">
        <f t="shared" si="507"/>
        <v>a</v>
      </c>
      <c r="E120" s="79" t="str">
        <f t="shared" si="507"/>
        <v>a</v>
      </c>
      <c r="F120" s="79" t="str">
        <f t="shared" si="507"/>
        <v>a</v>
      </c>
      <c r="G120" s="79" t="str">
        <f t="shared" si="507"/>
        <v>a</v>
      </c>
      <c r="H120" s="79" t="str">
        <f t="shared" si="507"/>
        <v>a</v>
      </c>
      <c r="I120" s="79" t="str">
        <f t="shared" si="507"/>
        <v>a</v>
      </c>
      <c r="J120" s="79" t="str">
        <f t="shared" si="507"/>
        <v>a</v>
      </c>
      <c r="K120" s="80" t="str">
        <f t="shared" si="507"/>
        <v>a</v>
      </c>
      <c r="L120" s="36"/>
      <c r="M120" s="36"/>
      <c r="N120" s="36"/>
      <c r="O120" s="36"/>
      <c r="P120" s="36"/>
      <c r="Q120" s="36"/>
      <c r="R120" s="36"/>
      <c r="S120" s="36"/>
      <c r="T120" s="36"/>
      <c r="U120" s="36"/>
      <c r="V120" s="36"/>
      <c r="W120" s="36">
        <f t="shared" si="477"/>
        <v>939393</v>
      </c>
      <c r="X120" s="36">
        <f t="shared" si="487"/>
        <v>981817.2000000001</v>
      </c>
      <c r="Y120" s="47">
        <f t="shared" si="498"/>
        <v>1028281.8</v>
      </c>
      <c r="Z120" s="36"/>
      <c r="AA120" s="36"/>
      <c r="AB120" s="36"/>
      <c r="AC120" s="36"/>
      <c r="AD120" s="36"/>
      <c r="AE120" s="36"/>
      <c r="AF120" s="36"/>
      <c r="AG120" s="36"/>
      <c r="AH120" s="36"/>
      <c r="AI120" s="36"/>
      <c r="AJ120" s="36">
        <f t="shared" si="478"/>
        <v>327272.4</v>
      </c>
      <c r="AK120" s="36">
        <f t="shared" si="488"/>
        <v>337373.4</v>
      </c>
      <c r="AL120" s="47">
        <f t="shared" si="499"/>
        <v>347474.4</v>
      </c>
      <c r="AM120" s="36"/>
      <c r="AN120" s="36"/>
      <c r="AO120" s="36"/>
      <c r="AP120" s="36"/>
      <c r="AQ120" s="36"/>
      <c r="AR120" s="36"/>
      <c r="AS120" s="36"/>
      <c r="AT120" s="36"/>
      <c r="AU120" s="36"/>
      <c r="AV120" s="36"/>
      <c r="AW120" s="36">
        <f t="shared" si="479"/>
        <v>4525248</v>
      </c>
      <c r="AX120" s="36">
        <f t="shared" si="489"/>
        <v>4759591.2</v>
      </c>
      <c r="AY120" s="47">
        <v>0</v>
      </c>
      <c r="AZ120" s="36"/>
      <c r="BA120" s="36"/>
      <c r="BB120" s="36"/>
      <c r="BC120" s="36"/>
      <c r="BD120" s="36"/>
      <c r="BE120" s="36"/>
      <c r="BF120" s="36"/>
      <c r="BG120" s="36"/>
      <c r="BH120" s="36"/>
      <c r="BI120" s="36"/>
      <c r="BJ120" s="36">
        <f t="shared" si="480"/>
        <v>1509089.4000000001</v>
      </c>
      <c r="BK120" s="36">
        <f t="shared" si="490"/>
        <v>1585857</v>
      </c>
      <c r="BL120" s="47">
        <v>0</v>
      </c>
      <c r="BM120" s="36"/>
      <c r="BN120" s="36"/>
      <c r="BO120" s="36"/>
      <c r="BP120" s="36"/>
      <c r="BQ120" s="36"/>
      <c r="BR120" s="36"/>
      <c r="BS120" s="36"/>
      <c r="BT120" s="36"/>
      <c r="BU120" s="36"/>
      <c r="BV120" s="36"/>
      <c r="BW120" s="36"/>
      <c r="BX120" s="36"/>
      <c r="BY120" s="47"/>
      <c r="BZ120" s="36"/>
      <c r="CA120" s="36"/>
      <c r="CB120" s="36"/>
      <c r="CC120" s="36"/>
      <c r="CD120" s="36"/>
      <c r="CE120" s="36"/>
      <c r="CF120" s="36"/>
      <c r="CG120" s="36"/>
      <c r="CH120" s="36"/>
      <c r="CI120" s="36"/>
      <c r="CJ120" s="36"/>
      <c r="CK120" s="36"/>
      <c r="CL120" s="47"/>
      <c r="CM120" s="36"/>
      <c r="CN120" s="36"/>
      <c r="CO120" s="36"/>
      <c r="CP120" s="36"/>
      <c r="CQ120" s="36"/>
      <c r="CR120" s="36"/>
      <c r="CS120" s="36"/>
      <c r="CT120" s="36"/>
      <c r="CU120" s="36"/>
      <c r="CV120" s="36"/>
      <c r="CW120" s="36">
        <f t="shared" si="481"/>
        <v>333333</v>
      </c>
      <c r="CX120" s="36">
        <f t="shared" si="491"/>
        <v>351514.8</v>
      </c>
      <c r="CY120" s="36">
        <v>0</v>
      </c>
      <c r="CZ120" s="36">
        <f t="shared" si="360"/>
        <v>17026245.599999998</v>
      </c>
      <c r="DA120" s="38">
        <f>CZ120*(1+$E$10)^-25</f>
        <v>5027897.517286826</v>
      </c>
      <c r="DB120" s="78"/>
      <c r="DC120" s="36"/>
      <c r="DD120" s="36"/>
      <c r="DE120" s="36"/>
      <c r="DF120" s="36"/>
      <c r="DG120" s="36"/>
      <c r="DH120" s="36"/>
      <c r="DI120" s="36"/>
      <c r="DJ120" s="36"/>
      <c r="DK120" s="36"/>
      <c r="DL120" s="36"/>
      <c r="DM120" s="36">
        <f t="shared" si="471"/>
        <v>241335</v>
      </c>
      <c r="DN120" s="36">
        <f t="shared" si="492"/>
        <v>252234</v>
      </c>
      <c r="DO120" s="47">
        <f t="shared" si="500"/>
        <v>264171</v>
      </c>
      <c r="DP120" s="36"/>
      <c r="DQ120" s="36"/>
      <c r="DR120" s="36"/>
      <c r="DS120" s="36"/>
      <c r="DT120" s="36"/>
      <c r="DU120" s="36"/>
      <c r="DV120" s="36"/>
      <c r="DW120" s="36"/>
      <c r="DX120" s="36"/>
      <c r="DY120" s="36"/>
      <c r="DZ120" s="36">
        <f t="shared" si="482"/>
        <v>84078</v>
      </c>
      <c r="EA120" s="36">
        <f t="shared" si="493"/>
        <v>86673</v>
      </c>
      <c r="EB120" s="47">
        <f t="shared" si="501"/>
        <v>89268</v>
      </c>
      <c r="EC120" s="36"/>
      <c r="ED120" s="36"/>
      <c r="EE120" s="36"/>
      <c r="EF120" s="36"/>
      <c r="EG120" s="36"/>
      <c r="EH120" s="36"/>
      <c r="EI120" s="36"/>
      <c r="EJ120" s="36"/>
      <c r="EK120" s="36"/>
      <c r="EL120" s="36"/>
      <c r="EM120" s="36">
        <f t="shared" si="483"/>
        <v>1162560</v>
      </c>
      <c r="EN120" s="36">
        <f t="shared" si="494"/>
        <v>1222764</v>
      </c>
      <c r="EO120" s="47">
        <v>0</v>
      </c>
      <c r="EP120" s="9"/>
      <c r="EQ120" s="36"/>
      <c r="ER120" s="36"/>
      <c r="ES120" s="36"/>
      <c r="ET120" s="36"/>
      <c r="EU120" s="36"/>
      <c r="EV120" s="36"/>
      <c r="EW120" s="36"/>
      <c r="EX120" s="36"/>
      <c r="EY120" s="36"/>
      <c r="EZ120" s="36">
        <f t="shared" si="484"/>
        <v>387693</v>
      </c>
      <c r="FA120" s="36">
        <f t="shared" si="495"/>
        <v>407415</v>
      </c>
      <c r="FB120" s="47">
        <v>0</v>
      </c>
      <c r="FC120" s="36"/>
      <c r="FD120" s="36"/>
      <c r="FE120" s="36"/>
      <c r="FF120" s="36"/>
      <c r="FG120" s="36"/>
      <c r="FH120" s="36"/>
      <c r="FI120" s="36"/>
      <c r="FJ120" s="36"/>
      <c r="FK120" s="36"/>
      <c r="FL120" s="36"/>
      <c r="FM120" s="36"/>
      <c r="FN120" s="36"/>
      <c r="FO120" s="47"/>
      <c r="FP120" s="36"/>
      <c r="FQ120" s="36"/>
      <c r="FR120" s="36"/>
      <c r="FS120" s="36"/>
      <c r="FT120" s="36"/>
      <c r="FU120" s="36"/>
      <c r="FV120" s="36"/>
      <c r="FW120" s="36"/>
      <c r="FX120" s="36"/>
      <c r="FY120" s="36"/>
      <c r="FZ120" s="36"/>
      <c r="GA120" s="36"/>
      <c r="GB120" s="47"/>
      <c r="GC120" s="36"/>
      <c r="GD120" s="36"/>
      <c r="GE120" s="36"/>
      <c r="GF120" s="36"/>
      <c r="GG120" s="36"/>
      <c r="GH120" s="36"/>
      <c r="GI120" s="36"/>
      <c r="GJ120" s="36"/>
      <c r="GK120" s="36"/>
      <c r="GL120" s="36"/>
      <c r="GM120" s="36">
        <f t="shared" si="485"/>
        <v>85635</v>
      </c>
      <c r="GN120" s="36">
        <f t="shared" si="496"/>
        <v>90306</v>
      </c>
      <c r="GO120" s="47">
        <v>0</v>
      </c>
      <c r="GP120" s="36">
        <f>SUM(DC120:GO120)</f>
        <v>4374132</v>
      </c>
      <c r="GQ120" s="38">
        <f>GP120*(1+$E$11)^-25</f>
        <v>1291693.3033718755</v>
      </c>
      <c r="GR120" s="38">
        <f t="shared" si="373"/>
        <v>21400377.599999998</v>
      </c>
      <c r="GS120" s="52">
        <f t="shared" si="361"/>
        <v>6319590.8206587015</v>
      </c>
      <c r="GT120" s="9"/>
    </row>
    <row r="121" spans="1:202" ht="18">
      <c r="A121" s="9"/>
      <c r="B121" s="49">
        <v>2028</v>
      </c>
      <c r="C121" s="79" t="str">
        <f aca="true" t="shared" si="508" ref="C121:K121">C45</f>
        <v>a</v>
      </c>
      <c r="D121" s="79" t="str">
        <f t="shared" si="508"/>
        <v>a</v>
      </c>
      <c r="E121" s="79" t="str">
        <f t="shared" si="508"/>
        <v>a</v>
      </c>
      <c r="F121" s="79" t="str">
        <f t="shared" si="508"/>
        <v>a</v>
      </c>
      <c r="G121" s="79" t="str">
        <f t="shared" si="508"/>
        <v>a</v>
      </c>
      <c r="H121" s="79" t="str">
        <f t="shared" si="508"/>
        <v>a</v>
      </c>
      <c r="I121" s="79" t="str">
        <f t="shared" si="508"/>
        <v>a</v>
      </c>
      <c r="J121" s="79" t="str">
        <f t="shared" si="508"/>
        <v>a</v>
      </c>
      <c r="K121" s="80" t="str">
        <f t="shared" si="508"/>
        <v>a</v>
      </c>
      <c r="L121" s="36"/>
      <c r="M121" s="36"/>
      <c r="N121" s="36"/>
      <c r="O121" s="36"/>
      <c r="P121" s="36"/>
      <c r="Q121" s="36"/>
      <c r="R121" s="36"/>
      <c r="S121" s="36"/>
      <c r="T121" s="36"/>
      <c r="U121" s="36"/>
      <c r="V121" s="36"/>
      <c r="W121" s="36"/>
      <c r="X121" s="36">
        <f t="shared" si="487"/>
        <v>981817.2000000001</v>
      </c>
      <c r="Y121" s="47">
        <f t="shared" si="498"/>
        <v>1028281.8</v>
      </c>
      <c r="Z121" s="36"/>
      <c r="AA121" s="36"/>
      <c r="AB121" s="36"/>
      <c r="AC121" s="36"/>
      <c r="AD121" s="36"/>
      <c r="AE121" s="36"/>
      <c r="AF121" s="36"/>
      <c r="AG121" s="36"/>
      <c r="AH121" s="36"/>
      <c r="AI121" s="36"/>
      <c r="AJ121" s="36"/>
      <c r="AK121" s="36">
        <f t="shared" si="488"/>
        <v>337373.4</v>
      </c>
      <c r="AL121" s="47">
        <f t="shared" si="499"/>
        <v>347474.4</v>
      </c>
      <c r="AM121" s="36"/>
      <c r="AN121" s="36"/>
      <c r="AO121" s="36"/>
      <c r="AP121" s="36"/>
      <c r="AQ121" s="36"/>
      <c r="AR121" s="36"/>
      <c r="AS121" s="36"/>
      <c r="AT121" s="36"/>
      <c r="AU121" s="36"/>
      <c r="AV121" s="36"/>
      <c r="AW121" s="36"/>
      <c r="AX121" s="36">
        <f t="shared" si="489"/>
        <v>4759591.2</v>
      </c>
      <c r="AY121" s="47">
        <v>0</v>
      </c>
      <c r="AZ121" s="36"/>
      <c r="BA121" s="36"/>
      <c r="BB121" s="36"/>
      <c r="BC121" s="36"/>
      <c r="BD121" s="36"/>
      <c r="BE121" s="36"/>
      <c r="BF121" s="36"/>
      <c r="BG121" s="36"/>
      <c r="BH121" s="36"/>
      <c r="BI121" s="36"/>
      <c r="BJ121" s="36"/>
      <c r="BK121" s="36">
        <f t="shared" si="490"/>
        <v>1585857</v>
      </c>
      <c r="BL121" s="47">
        <v>0</v>
      </c>
      <c r="BM121" s="36"/>
      <c r="BN121" s="36"/>
      <c r="BO121" s="36"/>
      <c r="BP121" s="36"/>
      <c r="BQ121" s="36"/>
      <c r="BR121" s="36"/>
      <c r="BS121" s="36"/>
      <c r="BT121" s="36"/>
      <c r="BU121" s="36"/>
      <c r="BV121" s="36"/>
      <c r="BW121" s="36"/>
      <c r="BX121" s="36"/>
      <c r="BY121" s="47"/>
      <c r="BZ121" s="36"/>
      <c r="CA121" s="36"/>
      <c r="CB121" s="36"/>
      <c r="CC121" s="36"/>
      <c r="CD121" s="36"/>
      <c r="CE121" s="36"/>
      <c r="CF121" s="36"/>
      <c r="CG121" s="36"/>
      <c r="CH121" s="36"/>
      <c r="CI121" s="36"/>
      <c r="CJ121" s="36"/>
      <c r="CK121" s="36"/>
      <c r="CL121" s="47"/>
      <c r="CM121" s="36"/>
      <c r="CN121" s="36"/>
      <c r="CO121" s="36"/>
      <c r="CP121" s="36"/>
      <c r="CQ121" s="36"/>
      <c r="CR121" s="36"/>
      <c r="CS121" s="36"/>
      <c r="CT121" s="36"/>
      <c r="CU121" s="36"/>
      <c r="CV121" s="36"/>
      <c r="CW121" s="36"/>
      <c r="CX121" s="36">
        <f t="shared" si="491"/>
        <v>351514.8</v>
      </c>
      <c r="CY121" s="36">
        <v>0</v>
      </c>
      <c r="CZ121" s="36">
        <f t="shared" si="360"/>
        <v>9391909.8</v>
      </c>
      <c r="DA121" s="38">
        <f>CZ121*(1+$E$10)^-26</f>
        <v>2641387.614738452</v>
      </c>
      <c r="DB121" s="78"/>
      <c r="DC121" s="36"/>
      <c r="DD121" s="36"/>
      <c r="DE121" s="36"/>
      <c r="DF121" s="36"/>
      <c r="DG121" s="36"/>
      <c r="DH121" s="36"/>
      <c r="DI121" s="36"/>
      <c r="DJ121" s="36"/>
      <c r="DK121" s="36"/>
      <c r="DL121" s="36"/>
      <c r="DM121" s="36"/>
      <c r="DN121" s="36">
        <f t="shared" si="492"/>
        <v>252234</v>
      </c>
      <c r="DO121" s="47">
        <f t="shared" si="500"/>
        <v>264171</v>
      </c>
      <c r="DP121" s="36"/>
      <c r="DQ121" s="36"/>
      <c r="DR121" s="36"/>
      <c r="DS121" s="36"/>
      <c r="DT121" s="36"/>
      <c r="DU121" s="36"/>
      <c r="DV121" s="36"/>
      <c r="DW121" s="36"/>
      <c r="DX121" s="36"/>
      <c r="DY121" s="36"/>
      <c r="DZ121" s="36"/>
      <c r="EA121" s="36">
        <f t="shared" si="493"/>
        <v>86673</v>
      </c>
      <c r="EB121" s="47">
        <f t="shared" si="501"/>
        <v>89268</v>
      </c>
      <c r="EC121" s="36"/>
      <c r="ED121" s="36"/>
      <c r="EE121" s="36"/>
      <c r="EF121" s="36"/>
      <c r="EG121" s="36"/>
      <c r="EH121" s="36"/>
      <c r="EI121" s="36"/>
      <c r="EJ121" s="36"/>
      <c r="EK121" s="36"/>
      <c r="EL121" s="36"/>
      <c r="EM121" s="36"/>
      <c r="EN121" s="36">
        <f t="shared" si="494"/>
        <v>1222764</v>
      </c>
      <c r="EO121" s="47">
        <v>0</v>
      </c>
      <c r="EP121" s="9"/>
      <c r="EQ121" s="36"/>
      <c r="ER121" s="36"/>
      <c r="ES121" s="36"/>
      <c r="ET121" s="36"/>
      <c r="EU121" s="36"/>
      <c r="EV121" s="36"/>
      <c r="EW121" s="36"/>
      <c r="EX121" s="36"/>
      <c r="EY121" s="36"/>
      <c r="EZ121" s="36"/>
      <c r="FA121" s="36">
        <f t="shared" si="495"/>
        <v>407415</v>
      </c>
      <c r="FB121" s="47">
        <v>0</v>
      </c>
      <c r="FC121" s="36"/>
      <c r="FD121" s="36"/>
      <c r="FE121" s="36"/>
      <c r="FF121" s="36"/>
      <c r="FG121" s="36"/>
      <c r="FH121" s="36"/>
      <c r="FI121" s="36"/>
      <c r="FJ121" s="36"/>
      <c r="FK121" s="36"/>
      <c r="FL121" s="36"/>
      <c r="FM121" s="36"/>
      <c r="FN121" s="36"/>
      <c r="FO121" s="47"/>
      <c r="FP121" s="36"/>
      <c r="FQ121" s="36"/>
      <c r="FR121" s="36"/>
      <c r="FS121" s="36"/>
      <c r="FT121" s="36"/>
      <c r="FU121" s="36"/>
      <c r="FV121" s="36"/>
      <c r="FW121" s="36"/>
      <c r="FX121" s="36"/>
      <c r="FY121" s="36"/>
      <c r="FZ121" s="36"/>
      <c r="GA121" s="36"/>
      <c r="GB121" s="47"/>
      <c r="GC121" s="36"/>
      <c r="GD121" s="36"/>
      <c r="GE121" s="36"/>
      <c r="GF121" s="36"/>
      <c r="GG121" s="36"/>
      <c r="GH121" s="36"/>
      <c r="GI121" s="36"/>
      <c r="GJ121" s="36"/>
      <c r="GK121" s="36"/>
      <c r="GL121" s="36"/>
      <c r="GM121" s="36"/>
      <c r="GN121" s="36">
        <f t="shared" si="496"/>
        <v>90306</v>
      </c>
      <c r="GO121" s="47">
        <v>0</v>
      </c>
      <c r="GP121" s="36">
        <f>SUM(DC121:GO121)</f>
        <v>2412831</v>
      </c>
      <c r="GQ121" s="38">
        <f>GP121*(1+$E$11)^-26</f>
        <v>678586.3637507457</v>
      </c>
      <c r="GR121" s="38">
        <f t="shared" si="373"/>
        <v>11804740.8</v>
      </c>
      <c r="GS121" s="52">
        <f t="shared" si="361"/>
        <v>3319973.9784891973</v>
      </c>
      <c r="GT121" s="9"/>
    </row>
    <row r="122" spans="1:202" ht="18">
      <c r="A122" s="9"/>
      <c r="B122" s="49">
        <v>2029</v>
      </c>
      <c r="C122" s="79" t="str">
        <f aca="true" t="shared" si="509" ref="C122:K122">C46</f>
        <v>a</v>
      </c>
      <c r="D122" s="79" t="str">
        <f t="shared" si="509"/>
        <v>a</v>
      </c>
      <c r="E122" s="79" t="str">
        <f t="shared" si="509"/>
        <v>a</v>
      </c>
      <c r="F122" s="79" t="str">
        <f t="shared" si="509"/>
        <v>a</v>
      </c>
      <c r="G122" s="79" t="str">
        <f t="shared" si="509"/>
        <v>a</v>
      </c>
      <c r="H122" s="79" t="str">
        <f t="shared" si="509"/>
        <v>a</v>
      </c>
      <c r="I122" s="79" t="str">
        <f t="shared" si="509"/>
        <v>a</v>
      </c>
      <c r="J122" s="79" t="str">
        <f t="shared" si="509"/>
        <v>a</v>
      </c>
      <c r="K122" s="80" t="str">
        <f t="shared" si="509"/>
        <v>a</v>
      </c>
      <c r="L122" s="36"/>
      <c r="M122" s="36"/>
      <c r="N122" s="36"/>
      <c r="O122" s="36"/>
      <c r="P122" s="36"/>
      <c r="Q122" s="36"/>
      <c r="R122" s="36"/>
      <c r="S122" s="36"/>
      <c r="T122" s="36"/>
      <c r="U122" s="36"/>
      <c r="V122" s="36"/>
      <c r="W122" s="36"/>
      <c r="X122" s="36"/>
      <c r="Y122" s="47">
        <f t="shared" si="498"/>
        <v>1028281.8</v>
      </c>
      <c r="Z122" s="36"/>
      <c r="AA122" s="36"/>
      <c r="AB122" s="36"/>
      <c r="AC122" s="36"/>
      <c r="AD122" s="36"/>
      <c r="AE122" s="36"/>
      <c r="AF122" s="36"/>
      <c r="AG122" s="36"/>
      <c r="AH122" s="36"/>
      <c r="AI122" s="36"/>
      <c r="AJ122" s="36"/>
      <c r="AK122" s="36"/>
      <c r="AL122" s="47">
        <f t="shared" si="499"/>
        <v>347474.4</v>
      </c>
      <c r="AM122" s="36"/>
      <c r="AN122" s="36"/>
      <c r="AO122" s="36"/>
      <c r="AP122" s="36"/>
      <c r="AQ122" s="36"/>
      <c r="AR122" s="36"/>
      <c r="AS122" s="36"/>
      <c r="AT122" s="36"/>
      <c r="AU122" s="36"/>
      <c r="AV122" s="36"/>
      <c r="AW122" s="36"/>
      <c r="AX122" s="36"/>
      <c r="AY122" s="47">
        <v>0</v>
      </c>
      <c r="AZ122" s="36"/>
      <c r="BA122" s="36"/>
      <c r="BB122" s="36"/>
      <c r="BC122" s="36"/>
      <c r="BD122" s="36"/>
      <c r="BE122" s="36"/>
      <c r="BF122" s="36"/>
      <c r="BG122" s="36"/>
      <c r="BH122" s="36"/>
      <c r="BI122" s="36"/>
      <c r="BJ122" s="36"/>
      <c r="BK122" s="36"/>
      <c r="BL122" s="47">
        <v>0</v>
      </c>
      <c r="BM122" s="36"/>
      <c r="BN122" s="36"/>
      <c r="BO122" s="36"/>
      <c r="BP122" s="36"/>
      <c r="BQ122" s="36"/>
      <c r="BR122" s="36"/>
      <c r="BS122" s="36"/>
      <c r="BT122" s="36"/>
      <c r="BU122" s="36"/>
      <c r="BV122" s="36"/>
      <c r="BW122" s="36"/>
      <c r="BX122" s="36"/>
      <c r="BY122" s="47"/>
      <c r="BZ122" s="36"/>
      <c r="CA122" s="36"/>
      <c r="CB122" s="36"/>
      <c r="CC122" s="36"/>
      <c r="CD122" s="36"/>
      <c r="CE122" s="36"/>
      <c r="CF122" s="36"/>
      <c r="CG122" s="36"/>
      <c r="CH122" s="36"/>
      <c r="CI122" s="36"/>
      <c r="CJ122" s="36"/>
      <c r="CK122" s="36"/>
      <c r="CL122" s="47"/>
      <c r="CM122" s="36"/>
      <c r="CN122" s="36"/>
      <c r="CO122" s="36"/>
      <c r="CP122" s="36"/>
      <c r="CQ122" s="36"/>
      <c r="CR122" s="36"/>
      <c r="CS122" s="36"/>
      <c r="CT122" s="36"/>
      <c r="CU122" s="36"/>
      <c r="CV122" s="36"/>
      <c r="CW122" s="36"/>
      <c r="CX122" s="36"/>
      <c r="CY122" s="36">
        <v>0</v>
      </c>
      <c r="CZ122" s="36">
        <f t="shared" si="360"/>
        <v>1375756.2000000002</v>
      </c>
      <c r="DA122" s="38">
        <f>CZ122*(1+$E$10)^-27</f>
        <v>368493.98552415485</v>
      </c>
      <c r="DB122" s="78"/>
      <c r="DC122" s="36"/>
      <c r="DD122" s="36"/>
      <c r="DE122" s="36"/>
      <c r="DF122" s="36"/>
      <c r="DG122" s="36"/>
      <c r="DH122" s="36"/>
      <c r="DI122" s="36"/>
      <c r="DJ122" s="36"/>
      <c r="DK122" s="36"/>
      <c r="DL122" s="36"/>
      <c r="DM122" s="36"/>
      <c r="DN122" s="36"/>
      <c r="DO122" s="47">
        <f t="shared" si="500"/>
        <v>264171</v>
      </c>
      <c r="DP122" s="36"/>
      <c r="DQ122" s="36"/>
      <c r="DR122" s="36"/>
      <c r="DS122" s="36"/>
      <c r="DT122" s="36"/>
      <c r="DU122" s="36"/>
      <c r="DV122" s="36"/>
      <c r="DW122" s="36"/>
      <c r="DX122" s="36"/>
      <c r="DY122" s="36"/>
      <c r="DZ122" s="36"/>
      <c r="EA122" s="36"/>
      <c r="EB122" s="47">
        <f t="shared" si="501"/>
        <v>89268</v>
      </c>
      <c r="EC122" s="36"/>
      <c r="ED122" s="36"/>
      <c r="EE122" s="36"/>
      <c r="EF122" s="36"/>
      <c r="EG122" s="36"/>
      <c r="EH122" s="36"/>
      <c r="EI122" s="36"/>
      <c r="EJ122" s="36"/>
      <c r="EK122" s="36"/>
      <c r="EL122" s="36"/>
      <c r="EM122" s="36"/>
      <c r="EN122" s="36"/>
      <c r="EO122" s="47">
        <v>0</v>
      </c>
      <c r="EP122" s="9"/>
      <c r="EQ122" s="36"/>
      <c r="ER122" s="36"/>
      <c r="ES122" s="36"/>
      <c r="ET122" s="36"/>
      <c r="EU122" s="36"/>
      <c r="EV122" s="36"/>
      <c r="EW122" s="36"/>
      <c r="EX122" s="36"/>
      <c r="EY122" s="36"/>
      <c r="EZ122" s="36"/>
      <c r="FA122" s="36"/>
      <c r="FB122" s="47">
        <v>0</v>
      </c>
      <c r="FC122" s="36"/>
      <c r="FD122" s="36"/>
      <c r="FE122" s="36"/>
      <c r="FF122" s="36"/>
      <c r="FG122" s="36"/>
      <c r="FH122" s="36"/>
      <c r="FI122" s="36"/>
      <c r="FJ122" s="36"/>
      <c r="FK122" s="36"/>
      <c r="FL122" s="36"/>
      <c r="FM122" s="36"/>
      <c r="FN122" s="36"/>
      <c r="FO122" s="47"/>
      <c r="FP122" s="36"/>
      <c r="FQ122" s="36"/>
      <c r="FR122" s="36"/>
      <c r="FS122" s="36"/>
      <c r="FT122" s="36"/>
      <c r="FU122" s="36"/>
      <c r="FV122" s="36"/>
      <c r="FW122" s="36"/>
      <c r="FX122" s="36"/>
      <c r="FY122" s="36"/>
      <c r="FZ122" s="36"/>
      <c r="GA122" s="36"/>
      <c r="GB122" s="47"/>
      <c r="GC122" s="36"/>
      <c r="GD122" s="36"/>
      <c r="GE122" s="36"/>
      <c r="GF122" s="36"/>
      <c r="GG122" s="36"/>
      <c r="GH122" s="36"/>
      <c r="GI122" s="36"/>
      <c r="GJ122" s="36"/>
      <c r="GK122" s="36"/>
      <c r="GL122" s="36"/>
      <c r="GM122" s="36"/>
      <c r="GN122" s="36"/>
      <c r="GO122" s="47">
        <v>0</v>
      </c>
      <c r="GP122" s="36">
        <f>SUM(DC122:GO122)</f>
        <v>353439</v>
      </c>
      <c r="GQ122" s="38">
        <f>GP122*(1+$E$11)^-27</f>
        <v>94668.04201912502</v>
      </c>
      <c r="GR122" s="38">
        <f t="shared" si="373"/>
        <v>1729195.2000000002</v>
      </c>
      <c r="GS122" s="52">
        <f t="shared" si="361"/>
        <v>463162.02754327987</v>
      </c>
      <c r="GT122" s="9"/>
    </row>
    <row r="123" spans="1:202" ht="18">
      <c r="A123" s="9"/>
      <c r="B123" s="66"/>
      <c r="C123" s="79"/>
      <c r="D123" s="79"/>
      <c r="E123" s="79"/>
      <c r="F123" s="79"/>
      <c r="G123" s="79"/>
      <c r="H123" s="79"/>
      <c r="I123" s="79"/>
      <c r="J123" s="79"/>
      <c r="K123" s="83">
        <f>SUM(K101:K113)</f>
        <v>59014</v>
      </c>
      <c r="L123" s="36" t="s">
        <v>2</v>
      </c>
      <c r="M123" s="36"/>
      <c r="N123" s="36"/>
      <c r="O123" s="36"/>
      <c r="P123" s="36"/>
      <c r="Q123" s="36"/>
      <c r="R123" s="36"/>
      <c r="S123" s="36"/>
      <c r="T123" s="36"/>
      <c r="U123" s="36"/>
      <c r="V123" s="36"/>
      <c r="W123" s="36"/>
      <c r="X123" s="36"/>
      <c r="Y123" s="81"/>
      <c r="Z123" s="36"/>
      <c r="AA123" s="36"/>
      <c r="AB123" s="36"/>
      <c r="AC123" s="36"/>
      <c r="AD123" s="36"/>
      <c r="AE123" s="36"/>
      <c r="AF123" s="36"/>
      <c r="AG123" s="36"/>
      <c r="AH123" s="36"/>
      <c r="AI123" s="36"/>
      <c r="AJ123" s="36"/>
      <c r="AK123" s="36"/>
      <c r="AL123" s="81"/>
      <c r="AM123" s="36"/>
      <c r="AN123" s="36"/>
      <c r="AO123" s="36"/>
      <c r="AP123" s="36"/>
      <c r="AQ123" s="36"/>
      <c r="AR123" s="36"/>
      <c r="AS123" s="36"/>
      <c r="AT123" s="36"/>
      <c r="AU123" s="36"/>
      <c r="AV123" s="36"/>
      <c r="AW123" s="36"/>
      <c r="AX123" s="36"/>
      <c r="AY123" s="81"/>
      <c r="AZ123" s="9"/>
      <c r="BA123" s="36"/>
      <c r="BB123" s="36"/>
      <c r="BC123" s="36"/>
      <c r="BD123" s="36"/>
      <c r="BE123" s="36"/>
      <c r="BF123" s="36"/>
      <c r="BG123" s="36"/>
      <c r="BH123" s="36"/>
      <c r="BI123" s="36"/>
      <c r="BJ123" s="36"/>
      <c r="BK123" s="36"/>
      <c r="BL123" s="81"/>
      <c r="BM123" s="36"/>
      <c r="BN123" s="36"/>
      <c r="BO123" s="36"/>
      <c r="BP123" s="36"/>
      <c r="BQ123" s="36"/>
      <c r="BR123" s="36"/>
      <c r="BS123" s="36"/>
      <c r="BT123" s="36"/>
      <c r="BU123" s="36"/>
      <c r="BV123" s="36"/>
      <c r="BW123" s="36"/>
      <c r="BX123" s="36"/>
      <c r="BY123" s="81"/>
      <c r="BZ123" s="36"/>
      <c r="CA123" s="36"/>
      <c r="CB123" s="36"/>
      <c r="CC123" s="36"/>
      <c r="CD123" s="36"/>
      <c r="CE123" s="36"/>
      <c r="CF123" s="36"/>
      <c r="CG123" s="36"/>
      <c r="CH123" s="36"/>
      <c r="CI123" s="36"/>
      <c r="CJ123" s="36"/>
      <c r="CK123" s="36"/>
      <c r="CL123" s="81"/>
      <c r="CM123" s="36"/>
      <c r="CN123" s="36"/>
      <c r="CO123" s="36"/>
      <c r="CP123" s="36"/>
      <c r="CQ123" s="36"/>
      <c r="CR123" s="36"/>
      <c r="CS123" s="36"/>
      <c r="CT123" s="36"/>
      <c r="CU123" s="36"/>
      <c r="CV123" s="36"/>
      <c r="CW123" s="32" t="s">
        <v>93</v>
      </c>
      <c r="CX123" s="32"/>
      <c r="CY123" s="36"/>
      <c r="CZ123" s="36"/>
      <c r="DA123" s="61">
        <f>SUM(DA101:DA113)</f>
        <v>449599433.6910031</v>
      </c>
      <c r="DB123" s="81"/>
      <c r="DC123" s="36"/>
      <c r="DD123" s="36"/>
      <c r="DE123" s="36"/>
      <c r="DF123" s="36"/>
      <c r="DG123" s="36"/>
      <c r="DH123" s="36"/>
      <c r="DI123" s="36"/>
      <c r="DJ123" s="36"/>
      <c r="DK123" s="36"/>
      <c r="DL123" s="36"/>
      <c r="DM123" s="36"/>
      <c r="DN123" s="36"/>
      <c r="DO123" s="81"/>
      <c r="DP123" s="36"/>
      <c r="DQ123" s="36"/>
      <c r="DR123" s="36"/>
      <c r="DS123" s="36"/>
      <c r="DT123" s="36"/>
      <c r="DU123" s="36"/>
      <c r="DV123" s="36"/>
      <c r="DW123" s="36"/>
      <c r="DX123" s="36"/>
      <c r="DY123" s="36"/>
      <c r="DZ123" s="36"/>
      <c r="EA123" s="36"/>
      <c r="EB123" s="81"/>
      <c r="EC123" s="36"/>
      <c r="ED123" s="36"/>
      <c r="EE123" s="36"/>
      <c r="EF123" s="36"/>
      <c r="EG123" s="36"/>
      <c r="EH123" s="36"/>
      <c r="EI123" s="36"/>
      <c r="EJ123" s="36"/>
      <c r="EK123" s="36"/>
      <c r="EL123" s="36"/>
      <c r="EM123" s="36"/>
      <c r="EN123" s="36"/>
      <c r="EO123" s="81"/>
      <c r="EP123" s="9"/>
      <c r="EQ123" s="36"/>
      <c r="ER123" s="36"/>
      <c r="ES123" s="36"/>
      <c r="ET123" s="36"/>
      <c r="EU123" s="36"/>
      <c r="EV123" s="36"/>
      <c r="EW123" s="36"/>
      <c r="EX123" s="36"/>
      <c r="EY123" s="36"/>
      <c r="EZ123" s="36"/>
      <c r="FA123" s="36"/>
      <c r="FB123" s="81"/>
      <c r="FC123" s="36"/>
      <c r="FD123" s="36"/>
      <c r="FE123" s="36"/>
      <c r="FF123" s="36"/>
      <c r="FG123" s="36"/>
      <c r="FH123" s="36"/>
      <c r="FI123" s="36"/>
      <c r="FJ123" s="36"/>
      <c r="FK123" s="36"/>
      <c r="FL123" s="36"/>
      <c r="FM123" s="36"/>
      <c r="FN123" s="36"/>
      <c r="FO123" s="81"/>
      <c r="FP123" s="36"/>
      <c r="FQ123" s="36"/>
      <c r="FR123" s="36"/>
      <c r="FS123" s="36"/>
      <c r="FT123" s="36"/>
      <c r="FU123" s="36"/>
      <c r="FV123" s="36"/>
      <c r="FW123" s="36"/>
      <c r="FX123" s="36"/>
      <c r="FY123" s="36"/>
      <c r="FZ123" s="36"/>
      <c r="GA123" s="36"/>
      <c r="GB123" s="81"/>
      <c r="GC123" s="36"/>
      <c r="GD123" s="36"/>
      <c r="GE123" s="36"/>
      <c r="GF123" s="36"/>
      <c r="GG123" s="36"/>
      <c r="GH123" s="36"/>
      <c r="GI123" s="36"/>
      <c r="GJ123" s="36"/>
      <c r="GK123" s="36"/>
      <c r="GL123" s="32" t="s">
        <v>92</v>
      </c>
      <c r="GN123" s="36"/>
      <c r="GO123" s="81"/>
      <c r="GP123" s="36"/>
      <c r="GQ123" s="61">
        <f>SUM(GQ101:GQ113)</f>
        <v>115504458.01684515</v>
      </c>
      <c r="GR123" s="61"/>
      <c r="GS123" s="81"/>
      <c r="GT123" s="9"/>
    </row>
    <row r="124" spans="1:202" ht="18">
      <c r="A124" s="9"/>
      <c r="B124" s="66"/>
      <c r="C124" s="79"/>
      <c r="D124" s="79"/>
      <c r="E124" s="79"/>
      <c r="F124" s="79"/>
      <c r="G124" s="79"/>
      <c r="H124" s="79"/>
      <c r="I124" s="79"/>
      <c r="J124" s="79"/>
      <c r="K124" s="83"/>
      <c r="L124" s="36"/>
      <c r="M124" s="36"/>
      <c r="N124" s="36"/>
      <c r="O124" s="36"/>
      <c r="P124" s="36"/>
      <c r="Q124" s="36"/>
      <c r="R124" s="36"/>
      <c r="S124" s="36"/>
      <c r="T124" s="36"/>
      <c r="U124" s="36"/>
      <c r="V124" s="36"/>
      <c r="W124" s="36"/>
      <c r="X124" s="36"/>
      <c r="Y124" s="81"/>
      <c r="Z124" s="36"/>
      <c r="AA124" s="36"/>
      <c r="AB124" s="36"/>
      <c r="AC124" s="36"/>
      <c r="AD124" s="36"/>
      <c r="AE124" s="36"/>
      <c r="AF124" s="36"/>
      <c r="AG124" s="36"/>
      <c r="AH124" s="36"/>
      <c r="AI124" s="36"/>
      <c r="AJ124" s="36"/>
      <c r="AK124" s="36"/>
      <c r="AL124" s="81"/>
      <c r="AM124" s="36"/>
      <c r="AN124" s="36"/>
      <c r="AO124" s="36"/>
      <c r="AP124" s="36"/>
      <c r="AQ124" s="36"/>
      <c r="AR124" s="36"/>
      <c r="AS124" s="36"/>
      <c r="AT124" s="36"/>
      <c r="AU124" s="36"/>
      <c r="AV124" s="36"/>
      <c r="AW124" s="36"/>
      <c r="AX124" s="36"/>
      <c r="AY124" s="81"/>
      <c r="AZ124" s="9"/>
      <c r="BA124" s="36"/>
      <c r="BB124" s="36"/>
      <c r="BC124" s="36"/>
      <c r="BD124" s="36"/>
      <c r="BE124" s="36"/>
      <c r="BF124" s="36"/>
      <c r="BG124" s="36"/>
      <c r="BH124" s="36"/>
      <c r="BI124" s="36"/>
      <c r="BJ124" s="36"/>
      <c r="BK124" s="36"/>
      <c r="BL124" s="81"/>
      <c r="BM124" s="36"/>
      <c r="BN124" s="36"/>
      <c r="BO124" s="36"/>
      <c r="BP124" s="36"/>
      <c r="BQ124" s="36"/>
      <c r="BR124" s="36"/>
      <c r="BS124" s="36"/>
      <c r="BT124" s="36"/>
      <c r="BU124" s="36"/>
      <c r="BV124" s="36"/>
      <c r="BW124" s="36"/>
      <c r="BX124" s="36"/>
      <c r="BY124" s="81"/>
      <c r="BZ124" s="36"/>
      <c r="CA124" s="36"/>
      <c r="CB124" s="36"/>
      <c r="CC124" s="36"/>
      <c r="CD124" s="36"/>
      <c r="CE124" s="36"/>
      <c r="CF124" s="36"/>
      <c r="CG124" s="36"/>
      <c r="CH124" s="36"/>
      <c r="CI124" s="36"/>
      <c r="CJ124" s="36"/>
      <c r="CK124" s="36"/>
      <c r="CL124" s="81"/>
      <c r="CM124" s="36"/>
      <c r="CN124" s="36"/>
      <c r="CO124" s="36"/>
      <c r="CP124" s="36"/>
      <c r="CQ124" s="36"/>
      <c r="CR124" s="36"/>
      <c r="CS124" s="36"/>
      <c r="CT124" s="36"/>
      <c r="CU124" s="36"/>
      <c r="CV124" s="36"/>
      <c r="CW124" s="36"/>
      <c r="CX124" s="36"/>
      <c r="CY124" s="36"/>
      <c r="CZ124" s="36"/>
      <c r="DA124" s="61"/>
      <c r="DB124" s="81"/>
      <c r="DC124" s="36"/>
      <c r="DD124" s="36"/>
      <c r="DE124" s="36"/>
      <c r="DF124" s="36"/>
      <c r="DG124" s="36"/>
      <c r="DH124" s="36"/>
      <c r="DI124" s="36"/>
      <c r="DJ124" s="36"/>
      <c r="DK124" s="36"/>
      <c r="DL124" s="36"/>
      <c r="DM124" s="36"/>
      <c r="DN124" s="36"/>
      <c r="DO124" s="81"/>
      <c r="DP124" s="36"/>
      <c r="DQ124" s="36"/>
      <c r="DR124" s="36"/>
      <c r="DS124" s="36"/>
      <c r="DT124" s="36"/>
      <c r="DU124" s="36"/>
      <c r="DV124" s="36"/>
      <c r="DW124" s="36"/>
      <c r="DX124" s="36"/>
      <c r="DY124" s="36"/>
      <c r="DZ124" s="36"/>
      <c r="EA124" s="36"/>
      <c r="EB124" s="81"/>
      <c r="EC124" s="36"/>
      <c r="ED124" s="36"/>
      <c r="EE124" s="36"/>
      <c r="EF124" s="36"/>
      <c r="EG124" s="36"/>
      <c r="EH124" s="36"/>
      <c r="EI124" s="36"/>
      <c r="EJ124" s="36"/>
      <c r="EK124" s="36"/>
      <c r="EL124" s="36"/>
      <c r="EM124" s="36"/>
      <c r="EN124" s="36"/>
      <c r="EO124" s="81"/>
      <c r="EP124" s="9"/>
      <c r="EQ124" s="36"/>
      <c r="ER124" s="36"/>
      <c r="ES124" s="36"/>
      <c r="ET124" s="36"/>
      <c r="EU124" s="36"/>
      <c r="EV124" s="36"/>
      <c r="EW124" s="36"/>
      <c r="EX124" s="36"/>
      <c r="EY124" s="36"/>
      <c r="EZ124" s="36"/>
      <c r="FA124" s="36"/>
      <c r="FB124" s="81"/>
      <c r="FC124" s="36"/>
      <c r="FD124" s="36"/>
      <c r="FE124" s="36"/>
      <c r="FF124" s="36"/>
      <c r="FG124" s="36"/>
      <c r="FH124" s="36"/>
      <c r="FI124" s="36"/>
      <c r="FJ124" s="36"/>
      <c r="FK124" s="36"/>
      <c r="FL124" s="36"/>
      <c r="FM124" s="36"/>
      <c r="FN124" s="36"/>
      <c r="FO124" s="81"/>
      <c r="FP124" s="36"/>
      <c r="FQ124" s="36"/>
      <c r="FR124" s="36"/>
      <c r="FS124" s="36"/>
      <c r="FT124" s="36"/>
      <c r="FU124" s="36"/>
      <c r="FV124" s="36"/>
      <c r="FW124" s="36"/>
      <c r="FX124" s="36"/>
      <c r="FY124" s="36"/>
      <c r="FZ124" s="36"/>
      <c r="GA124" s="36"/>
      <c r="GB124" s="81"/>
      <c r="GC124" s="36"/>
      <c r="GD124" s="36"/>
      <c r="GE124" s="36"/>
      <c r="GF124" s="36"/>
      <c r="GG124" s="36"/>
      <c r="GH124" s="36"/>
      <c r="GI124" s="36"/>
      <c r="GJ124" s="36"/>
      <c r="GK124" s="36"/>
      <c r="GL124" s="36"/>
      <c r="GM124" s="36"/>
      <c r="GN124" s="36"/>
      <c r="GO124" s="81"/>
      <c r="GP124" s="36"/>
      <c r="GQ124" s="81"/>
      <c r="GR124" s="81"/>
      <c r="GS124" s="81"/>
      <c r="GT124" s="9"/>
    </row>
    <row r="125" spans="1:202" ht="18">
      <c r="A125" s="54" t="s">
        <v>41</v>
      </c>
      <c r="B125" s="68"/>
      <c r="C125" s="9"/>
      <c r="D125" s="9"/>
      <c r="E125" s="9"/>
      <c r="F125" s="9"/>
      <c r="G125" s="9"/>
      <c r="H125" s="9"/>
      <c r="I125" s="9"/>
      <c r="J125" s="9"/>
      <c r="K125" s="9"/>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DB125" s="9"/>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O125" s="61" t="s">
        <v>91</v>
      </c>
      <c r="GP125" s="36"/>
      <c r="GQ125" s="36"/>
      <c r="GR125" s="36"/>
      <c r="GS125" s="32">
        <f>SUM(GS101:GS113)</f>
        <v>565103891.7078483</v>
      </c>
      <c r="GT125" s="9"/>
    </row>
    <row r="126" spans="1:202" ht="18">
      <c r="A126" s="54" t="s">
        <v>64</v>
      </c>
      <c r="B126" s="68"/>
      <c r="C126" s="9"/>
      <c r="D126" s="9"/>
      <c r="E126" s="9"/>
      <c r="F126" s="9"/>
      <c r="G126" s="9"/>
      <c r="H126" s="9"/>
      <c r="I126" s="9"/>
      <c r="J126" s="9"/>
      <c r="K126" s="9"/>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Y126" s="36"/>
      <c r="CZ126" s="36"/>
      <c r="DB126" s="9"/>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N126" s="61"/>
      <c r="GO126" s="32" t="s">
        <v>88</v>
      </c>
      <c r="GP126" s="36"/>
      <c r="GQ126" s="36"/>
      <c r="GR126" s="36"/>
      <c r="GS126" s="32"/>
      <c r="GT126" s="9"/>
    </row>
    <row r="127" spans="1:202" ht="18">
      <c r="A127" s="54" t="s">
        <v>76</v>
      </c>
      <c r="B127" s="68"/>
      <c r="C127" s="9"/>
      <c r="D127" s="9"/>
      <c r="E127" s="9"/>
      <c r="F127" s="9"/>
      <c r="G127" s="9"/>
      <c r="H127" s="9"/>
      <c r="I127" s="9"/>
      <c r="J127" s="9"/>
      <c r="K127" s="9"/>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2"/>
      <c r="CY127" s="36"/>
      <c r="CZ127" s="36"/>
      <c r="DA127" s="61"/>
      <c r="DB127" s="9"/>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2"/>
      <c r="GN127" s="9"/>
      <c r="GP127" s="36"/>
      <c r="GQ127" s="61"/>
      <c r="GR127" s="61"/>
      <c r="GS127" s="63"/>
      <c r="GT127" s="9"/>
    </row>
    <row r="128" spans="1:202" ht="18">
      <c r="A128" s="54" t="s">
        <v>82</v>
      </c>
      <c r="B128" s="68"/>
      <c r="C128" s="9"/>
      <c r="D128" s="9"/>
      <c r="E128" s="9"/>
      <c r="F128" s="9"/>
      <c r="G128" s="9"/>
      <c r="H128" s="9"/>
      <c r="I128" s="9"/>
      <c r="J128" s="9"/>
      <c r="K128" s="9"/>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T128" s="9"/>
    </row>
    <row r="129" spans="1:202" ht="18">
      <c r="A129" s="54"/>
      <c r="B129" s="68"/>
      <c r="C129" s="9"/>
      <c r="D129" s="9"/>
      <c r="E129" s="9"/>
      <c r="F129" s="9"/>
      <c r="G129" s="9"/>
      <c r="H129" s="9"/>
      <c r="I129" s="9"/>
      <c r="J129" s="9"/>
      <c r="K129" s="9"/>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T129" s="9"/>
    </row>
    <row r="130" spans="1:202" ht="15.75">
      <c r="A130" s="9"/>
      <c r="B130" s="68"/>
      <c r="C130" s="9"/>
      <c r="D130" s="9"/>
      <c r="E130" s="9"/>
      <c r="F130" s="9"/>
      <c r="G130" s="9"/>
      <c r="H130" s="9"/>
      <c r="I130" s="9"/>
      <c r="J130" s="9"/>
      <c r="K130" s="9"/>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2"/>
      <c r="GQ130" s="36"/>
      <c r="GR130" s="36"/>
      <c r="GS130" s="9"/>
      <c r="GT130" s="9"/>
    </row>
    <row r="131" spans="1:202" ht="21" customHeight="1">
      <c r="A131" s="94" t="s">
        <v>85</v>
      </c>
      <c r="B131" s="68"/>
      <c r="C131" s="9"/>
      <c r="D131" s="9"/>
      <c r="E131" s="9"/>
      <c r="F131" s="9"/>
      <c r="G131" s="9"/>
      <c r="H131" s="9"/>
      <c r="I131" s="9"/>
      <c r="J131" s="9"/>
      <c r="K131" s="9"/>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row>
    <row r="132" spans="1:202" ht="18">
      <c r="A132" s="64"/>
      <c r="B132" s="68"/>
      <c r="C132" s="9"/>
      <c r="D132" s="9"/>
      <c r="E132" s="9"/>
      <c r="F132" s="9"/>
      <c r="G132" s="9"/>
      <c r="H132" s="9"/>
      <c r="I132" s="9"/>
      <c r="J132" s="9"/>
      <c r="K132" s="9"/>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row>
    <row r="133" spans="1:202" ht="15.75" customHeight="1">
      <c r="A133" s="16" t="s">
        <v>60</v>
      </c>
      <c r="B133" s="15"/>
      <c r="C133" s="16"/>
      <c r="D133" s="16"/>
      <c r="J133" s="9"/>
      <c r="K133" s="9"/>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row>
    <row r="134" spans="6:202" ht="15.75" customHeight="1">
      <c r="F134" s="15" t="s">
        <v>61</v>
      </c>
      <c r="G134" s="15"/>
      <c r="H134" s="15" t="s">
        <v>70</v>
      </c>
      <c r="J134" s="16" t="s">
        <v>71</v>
      </c>
      <c r="K134" s="16"/>
      <c r="M134" s="15" t="s">
        <v>52</v>
      </c>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row>
    <row r="135" spans="1:202" ht="15">
      <c r="A135" s="9" t="s">
        <v>73</v>
      </c>
      <c r="F135" s="87">
        <v>22007</v>
      </c>
      <c r="H135" s="89">
        <v>6133</v>
      </c>
      <c r="I135" s="9"/>
      <c r="K135" s="90"/>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36"/>
    </row>
    <row r="136" spans="1:202" ht="15">
      <c r="A136" s="9" t="s">
        <v>74</v>
      </c>
      <c r="B136" s="69"/>
      <c r="C136" s="70"/>
      <c r="F136" s="87">
        <v>22007</v>
      </c>
      <c r="H136" s="89">
        <v>6133</v>
      </c>
      <c r="I136" s="9"/>
      <c r="K136" s="90"/>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36"/>
    </row>
    <row r="137" spans="1:202" ht="15">
      <c r="A137" s="9"/>
      <c r="B137" s="69"/>
      <c r="C137" s="70"/>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36"/>
    </row>
    <row r="138" spans="1:202" ht="20.25">
      <c r="A138" s="9"/>
      <c r="B138" s="68"/>
      <c r="C138" s="9"/>
      <c r="D138" s="8" t="s">
        <v>42</v>
      </c>
      <c r="E138" s="39"/>
      <c r="F138" s="9"/>
      <c r="G138" s="39"/>
      <c r="H138" s="9"/>
      <c r="I138" s="9"/>
      <c r="J138" s="63"/>
      <c r="K138" s="63"/>
      <c r="L138" s="63"/>
      <c r="M138" s="8" t="s">
        <v>43</v>
      </c>
      <c r="N138" s="9"/>
      <c r="O138" s="9"/>
      <c r="P138" s="9"/>
      <c r="Q138" s="9"/>
      <c r="R138" s="9"/>
      <c r="S138" s="9"/>
      <c r="T138" s="9"/>
      <c r="U138" s="9"/>
      <c r="V138" s="9"/>
      <c r="W138" s="9"/>
      <c r="X138" s="9"/>
      <c r="Y138" s="9"/>
      <c r="Z138" s="9"/>
      <c r="AA138" s="8" t="s">
        <v>44</v>
      </c>
      <c r="AB138" s="9"/>
      <c r="AC138" s="9"/>
      <c r="AD138" s="9"/>
      <c r="AE138" s="9"/>
      <c r="AF138" s="9"/>
      <c r="AG138" s="9"/>
      <c r="AH138" s="9"/>
      <c r="AI138" s="9"/>
      <c r="AJ138" s="9"/>
      <c r="AK138" s="9"/>
      <c r="AL138" s="9"/>
      <c r="AM138" s="9"/>
      <c r="AN138" s="8" t="s">
        <v>45</v>
      </c>
      <c r="AO138" s="9"/>
      <c r="AP138" s="9"/>
      <c r="AQ138" s="9"/>
      <c r="AR138" s="9"/>
      <c r="AS138" s="9"/>
      <c r="AT138" s="9"/>
      <c r="AU138" s="9"/>
      <c r="AV138" s="9"/>
      <c r="AW138" s="9"/>
      <c r="AX138" s="9"/>
      <c r="AY138" s="9"/>
      <c r="AZ138" s="9"/>
      <c r="BA138" s="8" t="s">
        <v>45</v>
      </c>
      <c r="BB138" s="9"/>
      <c r="BC138" s="9"/>
      <c r="BD138" s="9"/>
      <c r="BE138" s="9"/>
      <c r="BF138" s="9"/>
      <c r="BG138" s="9"/>
      <c r="BH138" s="9"/>
      <c r="BI138" s="9"/>
      <c r="BJ138" s="9"/>
      <c r="BK138" s="9"/>
      <c r="BL138" s="9"/>
      <c r="BM138" s="9"/>
      <c r="BN138" s="8" t="s">
        <v>44</v>
      </c>
      <c r="BO138" s="9"/>
      <c r="BP138" s="9"/>
      <c r="BQ138" s="9"/>
      <c r="BR138" s="9"/>
      <c r="BS138" s="9"/>
      <c r="BT138" s="9"/>
      <c r="BU138" s="9"/>
      <c r="BV138" s="9"/>
      <c r="BW138" s="9"/>
      <c r="BX138" s="9"/>
      <c r="BY138" s="9"/>
      <c r="BZ138" s="9"/>
      <c r="CA138" s="8" t="s">
        <v>44</v>
      </c>
      <c r="CB138" s="9"/>
      <c r="CC138" s="9"/>
      <c r="CD138" s="9"/>
      <c r="CE138" s="9"/>
      <c r="CF138" s="9"/>
      <c r="CG138" s="9"/>
      <c r="CH138" s="9"/>
      <c r="CI138" s="9"/>
      <c r="CJ138" s="9"/>
      <c r="CK138" s="9"/>
      <c r="CL138" s="9"/>
      <c r="CM138" s="9"/>
      <c r="CN138" s="8" t="s">
        <v>44</v>
      </c>
      <c r="CO138" s="9"/>
      <c r="CP138" s="9"/>
      <c r="CQ138" s="9"/>
      <c r="CR138" s="9"/>
      <c r="CS138" s="9"/>
      <c r="CT138" s="9"/>
      <c r="CU138" s="9"/>
      <c r="CV138" s="9"/>
      <c r="CW138" s="9"/>
      <c r="CX138" s="9"/>
      <c r="CY138" s="9"/>
      <c r="CZ138" s="8" t="s">
        <v>44</v>
      </c>
      <c r="DA138" s="9"/>
      <c r="DB138" s="9"/>
      <c r="DC138" s="8" t="s">
        <v>46</v>
      </c>
      <c r="DD138" s="8"/>
      <c r="DE138" s="9"/>
      <c r="DF138" s="9"/>
      <c r="DG138" s="9"/>
      <c r="DH138" s="9"/>
      <c r="DI138" s="9"/>
      <c r="DJ138" s="9"/>
      <c r="DK138" s="9"/>
      <c r="DL138" s="9"/>
      <c r="DM138" s="9"/>
      <c r="DN138" s="9"/>
      <c r="DO138" s="9"/>
      <c r="DP138" s="9"/>
      <c r="DQ138" s="8" t="s">
        <v>48</v>
      </c>
      <c r="DR138" s="9"/>
      <c r="DS138" s="9"/>
      <c r="DT138" s="9"/>
      <c r="DU138" s="9"/>
      <c r="DV138" s="9"/>
      <c r="DW138" s="9"/>
      <c r="DX138" s="9"/>
      <c r="DY138" s="9"/>
      <c r="DZ138" s="9"/>
      <c r="EA138" s="9"/>
      <c r="EB138" s="9"/>
      <c r="EC138" s="9"/>
      <c r="ED138" s="8" t="s">
        <v>47</v>
      </c>
      <c r="EE138" s="9"/>
      <c r="EF138" s="9"/>
      <c r="EG138" s="9"/>
      <c r="EH138" s="9"/>
      <c r="EI138" s="9"/>
      <c r="EJ138" s="9"/>
      <c r="EK138" s="9"/>
      <c r="EL138" s="9"/>
      <c r="EM138" s="9"/>
      <c r="EN138" s="9"/>
      <c r="EO138" s="9"/>
      <c r="EP138" s="9"/>
      <c r="EQ138" s="8" t="s">
        <v>47</v>
      </c>
      <c r="ER138" s="9"/>
      <c r="ES138" s="9"/>
      <c r="ET138" s="9"/>
      <c r="EU138" s="9"/>
      <c r="EV138" s="9"/>
      <c r="EW138" s="9"/>
      <c r="EX138" s="9"/>
      <c r="EY138" s="9"/>
      <c r="EZ138" s="9"/>
      <c r="FA138" s="9"/>
      <c r="FB138" s="9"/>
      <c r="FC138" s="9"/>
      <c r="FD138" s="8" t="s">
        <v>48</v>
      </c>
      <c r="FE138" s="9"/>
      <c r="FF138" s="9"/>
      <c r="FG138" s="9"/>
      <c r="FH138" s="9"/>
      <c r="FI138" s="9"/>
      <c r="FJ138" s="9"/>
      <c r="FK138" s="9"/>
      <c r="FL138" s="9"/>
      <c r="FM138" s="9"/>
      <c r="FN138" s="9"/>
      <c r="FO138" s="9"/>
      <c r="FP138" s="9"/>
      <c r="FQ138" s="8" t="s">
        <v>48</v>
      </c>
      <c r="FR138" s="9"/>
      <c r="FS138" s="9"/>
      <c r="FT138" s="9"/>
      <c r="FU138" s="9"/>
      <c r="FV138" s="9"/>
      <c r="FW138" s="9"/>
      <c r="FX138" s="9"/>
      <c r="FY138" s="9"/>
      <c r="FZ138" s="9"/>
      <c r="GA138" s="9"/>
      <c r="GB138" s="9"/>
      <c r="GC138" s="9"/>
      <c r="GD138" s="8" t="s">
        <v>48</v>
      </c>
      <c r="GE138" s="9"/>
      <c r="GF138" s="9"/>
      <c r="GG138" s="9"/>
      <c r="GH138" s="9"/>
      <c r="GI138" s="9"/>
      <c r="GJ138" s="9"/>
      <c r="GK138" s="9"/>
      <c r="GL138" s="9"/>
      <c r="GM138" s="9"/>
      <c r="GN138" s="9"/>
      <c r="GO138" s="9"/>
      <c r="GP138" s="8" t="s">
        <v>47</v>
      </c>
      <c r="GQ138" s="63"/>
      <c r="GR138" s="63"/>
      <c r="GS138" s="9"/>
      <c r="GT138" s="36"/>
    </row>
    <row r="139" spans="1:202" ht="121.5" customHeight="1" thickBot="1">
      <c r="A139" s="42" t="s">
        <v>18</v>
      </c>
      <c r="B139" s="55" t="s">
        <v>19</v>
      </c>
      <c r="C139" s="42" t="s">
        <v>20</v>
      </c>
      <c r="D139" s="42" t="s">
        <v>0</v>
      </c>
      <c r="E139" s="42" t="s">
        <v>1</v>
      </c>
      <c r="F139" s="42" t="s">
        <v>29</v>
      </c>
      <c r="G139" s="42" t="s">
        <v>28</v>
      </c>
      <c r="H139" s="42" t="s">
        <v>30</v>
      </c>
      <c r="I139" s="42" t="s">
        <v>27</v>
      </c>
      <c r="J139" s="42" t="s">
        <v>26</v>
      </c>
      <c r="K139" s="56" t="s">
        <v>53</v>
      </c>
      <c r="L139" s="40" t="s">
        <v>22</v>
      </c>
      <c r="M139" s="50" t="s">
        <v>20</v>
      </c>
      <c r="N139" s="71"/>
      <c r="O139" s="71"/>
      <c r="P139" s="71"/>
      <c r="Q139" s="71"/>
      <c r="R139" s="71"/>
      <c r="S139" s="71"/>
      <c r="T139" s="71"/>
      <c r="U139" s="71"/>
      <c r="V139" s="71"/>
      <c r="W139" s="71"/>
      <c r="X139" s="71"/>
      <c r="Y139" s="72"/>
      <c r="Z139" s="48" t="s">
        <v>0</v>
      </c>
      <c r="AA139" s="73"/>
      <c r="AB139" s="73"/>
      <c r="AC139" s="73"/>
      <c r="AD139" s="73"/>
      <c r="AE139" s="73"/>
      <c r="AF139" s="73"/>
      <c r="AG139" s="73"/>
      <c r="AH139" s="73"/>
      <c r="AI139" s="73"/>
      <c r="AJ139" s="73"/>
      <c r="AK139" s="73"/>
      <c r="AL139" s="73"/>
      <c r="AM139" s="45" t="s">
        <v>31</v>
      </c>
      <c r="AN139" s="73"/>
      <c r="AO139" s="73"/>
      <c r="AP139" s="73"/>
      <c r="AQ139" s="73"/>
      <c r="AR139" s="73"/>
      <c r="AS139" s="73"/>
      <c r="AT139" s="73"/>
      <c r="AU139" s="73"/>
      <c r="AV139" s="73"/>
      <c r="AW139" s="73"/>
      <c r="AX139" s="73"/>
      <c r="AY139" s="73"/>
      <c r="AZ139" s="45" t="s">
        <v>32</v>
      </c>
      <c r="BA139" s="73"/>
      <c r="BB139" s="73"/>
      <c r="BC139" s="73"/>
      <c r="BD139" s="73"/>
      <c r="BE139" s="73"/>
      <c r="BF139" s="73"/>
      <c r="BG139" s="73"/>
      <c r="BH139" s="73"/>
      <c r="BI139" s="73"/>
      <c r="BJ139" s="73"/>
      <c r="BK139" s="73"/>
      <c r="BL139" s="74"/>
      <c r="BM139" s="48" t="s">
        <v>34</v>
      </c>
      <c r="BN139" s="73"/>
      <c r="BO139" s="91" t="s">
        <v>75</v>
      </c>
      <c r="BP139" s="73"/>
      <c r="BQ139" s="73"/>
      <c r="BR139" s="73"/>
      <c r="BS139" s="73"/>
      <c r="BT139" s="73"/>
      <c r="BU139" s="73"/>
      <c r="BV139" s="73"/>
      <c r="BW139" s="73"/>
      <c r="BX139" s="73"/>
      <c r="BY139" s="74"/>
      <c r="BZ139" s="45" t="s">
        <v>33</v>
      </c>
      <c r="CA139" s="73"/>
      <c r="CB139" s="91" t="s">
        <v>75</v>
      </c>
      <c r="CC139" s="73"/>
      <c r="CD139" s="73"/>
      <c r="CE139" s="73"/>
      <c r="CF139" s="73"/>
      <c r="CG139" s="73"/>
      <c r="CH139" s="73"/>
      <c r="CI139" s="73"/>
      <c r="CJ139" s="73"/>
      <c r="CK139" s="73"/>
      <c r="CL139" s="74"/>
      <c r="CM139" s="48" t="s">
        <v>35</v>
      </c>
      <c r="CN139" s="73"/>
      <c r="CO139" s="73"/>
      <c r="CP139" s="73"/>
      <c r="CQ139" s="73"/>
      <c r="CR139" s="73"/>
      <c r="CS139" s="73"/>
      <c r="CT139" s="73"/>
      <c r="CU139" s="73"/>
      <c r="CV139" s="73"/>
      <c r="CW139" s="73"/>
      <c r="CX139" s="73"/>
      <c r="CY139" s="74"/>
      <c r="CZ139" s="42" t="s">
        <v>23</v>
      </c>
      <c r="DA139" s="41" t="s">
        <v>49</v>
      </c>
      <c r="DB139" s="40" t="s">
        <v>25</v>
      </c>
      <c r="DC139" s="45" t="s">
        <v>20</v>
      </c>
      <c r="DD139" s="73"/>
      <c r="DE139" s="73"/>
      <c r="DF139" s="73"/>
      <c r="DG139" s="73"/>
      <c r="DH139" s="73"/>
      <c r="DI139" s="73"/>
      <c r="DJ139" s="73"/>
      <c r="DK139" s="73"/>
      <c r="DL139" s="73"/>
      <c r="DM139" s="73"/>
      <c r="DN139" s="73"/>
      <c r="DO139" s="74"/>
      <c r="DP139" s="45" t="s">
        <v>0</v>
      </c>
      <c r="DQ139" s="73"/>
      <c r="DR139" s="73"/>
      <c r="DS139" s="73"/>
      <c r="DT139" s="73"/>
      <c r="DU139" s="73"/>
      <c r="DV139" s="73"/>
      <c r="DW139" s="73"/>
      <c r="DX139" s="73"/>
      <c r="DY139" s="73"/>
      <c r="DZ139" s="73"/>
      <c r="EA139" s="73"/>
      <c r="EB139" s="74"/>
      <c r="EC139" s="45" t="s">
        <v>36</v>
      </c>
      <c r="ED139" s="73"/>
      <c r="EE139" s="73"/>
      <c r="EF139" s="73"/>
      <c r="EG139" s="73"/>
      <c r="EH139" s="73"/>
      <c r="EI139" s="73"/>
      <c r="EJ139" s="73"/>
      <c r="EK139" s="73"/>
      <c r="EL139" s="73"/>
      <c r="EM139" s="73"/>
      <c r="EN139" s="73"/>
      <c r="EO139" s="74"/>
      <c r="EP139" s="45" t="s">
        <v>24</v>
      </c>
      <c r="EQ139" s="43"/>
      <c r="ER139" s="43"/>
      <c r="ES139" s="43"/>
      <c r="ET139" s="43"/>
      <c r="EU139" s="43"/>
      <c r="EV139" s="43"/>
      <c r="EW139" s="43"/>
      <c r="EX139" s="43"/>
      <c r="EY139" s="43"/>
      <c r="EZ139" s="43"/>
      <c r="FA139" s="43"/>
      <c r="FB139" s="44"/>
      <c r="FC139" s="45" t="s">
        <v>37</v>
      </c>
      <c r="FD139" s="43"/>
      <c r="FE139" s="91" t="s">
        <v>75</v>
      </c>
      <c r="FF139" s="43"/>
      <c r="FG139" s="43"/>
      <c r="FH139" s="43"/>
      <c r="FI139" s="43"/>
      <c r="FJ139" s="43"/>
      <c r="FK139" s="43"/>
      <c r="FL139" s="43"/>
      <c r="FM139" s="43"/>
      <c r="FN139" s="43"/>
      <c r="FO139" s="74"/>
      <c r="FP139" s="45" t="s">
        <v>38</v>
      </c>
      <c r="FQ139" s="43"/>
      <c r="FR139" s="91" t="s">
        <v>75</v>
      </c>
      <c r="FS139" s="43"/>
      <c r="FT139" s="43"/>
      <c r="FU139" s="43"/>
      <c r="FV139" s="43"/>
      <c r="FW139" s="43"/>
      <c r="FX139" s="43"/>
      <c r="FY139" s="43"/>
      <c r="FZ139" s="43"/>
      <c r="GA139" s="73"/>
      <c r="GB139" s="74"/>
      <c r="GC139" s="48" t="s">
        <v>39</v>
      </c>
      <c r="GD139" s="43"/>
      <c r="GE139" s="43"/>
      <c r="GF139" s="43"/>
      <c r="GG139" s="43"/>
      <c r="GH139" s="43"/>
      <c r="GI139" s="43"/>
      <c r="GJ139" s="43"/>
      <c r="GK139" s="43"/>
      <c r="GL139" s="43"/>
      <c r="GM139" s="43"/>
      <c r="GN139" s="73"/>
      <c r="GO139" s="74"/>
      <c r="GP139" s="43" t="s">
        <v>21</v>
      </c>
      <c r="GQ139" s="41" t="s">
        <v>50</v>
      </c>
      <c r="GR139" s="41" t="s">
        <v>89</v>
      </c>
      <c r="GS139" s="40" t="s">
        <v>51</v>
      </c>
      <c r="GT139" s="36"/>
    </row>
    <row r="140" spans="1:202" ht="16.5" thickTop="1">
      <c r="A140" s="9">
        <v>-2001</v>
      </c>
      <c r="B140" s="49">
        <v>2008</v>
      </c>
      <c r="C140" s="31">
        <f aca="true" t="shared" si="510" ref="C140:K140">C25</f>
        <v>2125</v>
      </c>
      <c r="D140" s="31">
        <f t="shared" si="510"/>
        <v>880</v>
      </c>
      <c r="E140" s="31">
        <f t="shared" si="510"/>
        <v>11162</v>
      </c>
      <c r="F140" s="31">
        <f t="shared" si="510"/>
        <v>3721</v>
      </c>
      <c r="G140" s="31">
        <f t="shared" si="510"/>
        <v>856</v>
      </c>
      <c r="H140" s="31">
        <f t="shared" si="510"/>
        <v>285</v>
      </c>
      <c r="I140" s="31">
        <f t="shared" si="510"/>
        <v>822</v>
      </c>
      <c r="J140" s="84">
        <f t="shared" si="510"/>
        <v>16846</v>
      </c>
      <c r="K140" s="85">
        <f t="shared" si="510"/>
        <v>19851</v>
      </c>
      <c r="L140" s="36">
        <f>$F$135*0.1295</f>
        <v>2849.9065</v>
      </c>
      <c r="M140" s="36">
        <f>$C$140*$L$140</f>
        <v>6056051.3125</v>
      </c>
      <c r="N140" s="36"/>
      <c r="O140" s="36"/>
      <c r="P140" s="36"/>
      <c r="Q140" s="36"/>
      <c r="R140" s="36"/>
      <c r="S140" s="36"/>
      <c r="T140" s="36"/>
      <c r="U140" s="36"/>
      <c r="V140" s="36"/>
      <c r="W140" s="36"/>
      <c r="X140" s="36"/>
      <c r="Y140" s="77"/>
      <c r="Z140" s="36">
        <f>$D$140*$L$140</f>
        <v>2507917.72</v>
      </c>
      <c r="AA140" s="36"/>
      <c r="AB140" s="36"/>
      <c r="AC140" s="36"/>
      <c r="AD140" s="36"/>
      <c r="AE140" s="36"/>
      <c r="AF140" s="36"/>
      <c r="AG140" s="36"/>
      <c r="AH140" s="36"/>
      <c r="AI140" s="36"/>
      <c r="AJ140" s="36"/>
      <c r="AK140" s="36"/>
      <c r="AL140" s="77"/>
      <c r="AM140" s="36">
        <f>$E$140*$L$140</f>
        <v>31810656.353</v>
      </c>
      <c r="AN140" s="36"/>
      <c r="AO140" s="36"/>
      <c r="AP140" s="36"/>
      <c r="AQ140" s="36"/>
      <c r="AR140" s="36"/>
      <c r="AS140" s="36"/>
      <c r="AT140" s="36"/>
      <c r="AU140" s="36"/>
      <c r="AV140" s="36"/>
      <c r="AW140" s="36"/>
      <c r="AX140" s="36"/>
      <c r="AY140" s="77"/>
      <c r="AZ140" s="36">
        <f>$F$140*$L$140</f>
        <v>10604502.0865</v>
      </c>
      <c r="BA140" s="36"/>
      <c r="BB140" s="36"/>
      <c r="BC140" s="36"/>
      <c r="BD140" s="36"/>
      <c r="BE140" s="36"/>
      <c r="BF140" s="36"/>
      <c r="BG140" s="36"/>
      <c r="BH140" s="36"/>
      <c r="BI140" s="36"/>
      <c r="BJ140" s="36"/>
      <c r="BK140" s="36"/>
      <c r="BL140" s="77"/>
      <c r="BM140" s="36"/>
      <c r="BN140" s="36"/>
      <c r="BO140" s="36"/>
      <c r="BP140" s="36"/>
      <c r="BQ140" s="36"/>
      <c r="BR140" s="36"/>
      <c r="BS140" s="36"/>
      <c r="BT140" s="36"/>
      <c r="BU140" s="36"/>
      <c r="BV140" s="36"/>
      <c r="BW140" s="36"/>
      <c r="BX140" s="36"/>
      <c r="BY140" s="77"/>
      <c r="BZ140" s="36"/>
      <c r="CA140" s="36"/>
      <c r="CB140" s="36"/>
      <c r="CC140" s="36"/>
      <c r="CD140" s="36"/>
      <c r="CE140" s="36"/>
      <c r="CF140" s="36"/>
      <c r="CG140" s="36"/>
      <c r="CH140" s="36"/>
      <c r="CI140" s="36"/>
      <c r="CJ140" s="36"/>
      <c r="CK140" s="36"/>
      <c r="CL140" s="77"/>
      <c r="CM140" s="36">
        <f>$I$140*$L$140</f>
        <v>2342623.143</v>
      </c>
      <c r="CN140" s="36"/>
      <c r="CO140" s="36"/>
      <c r="CP140" s="36"/>
      <c r="CQ140" s="36"/>
      <c r="CR140" s="36"/>
      <c r="CS140" s="36"/>
      <c r="CT140" s="36"/>
      <c r="CU140" s="36"/>
      <c r="CV140" s="36"/>
      <c r="CW140" s="36"/>
      <c r="CX140" s="36"/>
      <c r="CY140" s="36"/>
      <c r="CZ140" s="36">
        <f aca="true" t="shared" si="511" ref="CZ140:CZ161">SUM(M140:CY140)</f>
        <v>53321750.615</v>
      </c>
      <c r="DA140" s="62">
        <f>CZ140*(1+$E$10)^-6</f>
        <v>39789511.28453157</v>
      </c>
      <c r="DB140" s="93">
        <f>$H$135</f>
        <v>6133</v>
      </c>
      <c r="DC140" s="36">
        <f>$C$140*$DB$140</f>
        <v>13032625</v>
      </c>
      <c r="DD140" s="36"/>
      <c r="DE140" s="36"/>
      <c r="DF140" s="36"/>
      <c r="DG140" s="36"/>
      <c r="DH140" s="36"/>
      <c r="DI140" s="36"/>
      <c r="DJ140" s="36"/>
      <c r="DK140" s="36"/>
      <c r="DL140" s="36"/>
      <c r="DM140" s="36"/>
      <c r="DN140" s="36"/>
      <c r="DO140" s="77"/>
      <c r="DP140" s="36">
        <f>$D$140*$DB$140</f>
        <v>5397040</v>
      </c>
      <c r="DQ140" s="36"/>
      <c r="DR140" s="36"/>
      <c r="DS140" s="36"/>
      <c r="DT140" s="36"/>
      <c r="DU140" s="36"/>
      <c r="DV140" s="36"/>
      <c r="DW140" s="36"/>
      <c r="DX140" s="36"/>
      <c r="DY140" s="36"/>
      <c r="DZ140" s="36"/>
      <c r="EA140" s="36"/>
      <c r="EB140" s="77"/>
      <c r="EC140" s="36">
        <f>$E$140*$DB$140</f>
        <v>68456546</v>
      </c>
      <c r="ED140" s="36"/>
      <c r="EE140" s="36"/>
      <c r="EF140" s="36"/>
      <c r="EG140" s="36"/>
      <c r="EH140" s="36"/>
      <c r="EI140" s="36"/>
      <c r="EJ140" s="36"/>
      <c r="EK140" s="36"/>
      <c r="EL140" s="36"/>
      <c r="EM140" s="36"/>
      <c r="EN140" s="36"/>
      <c r="EO140" s="77"/>
      <c r="EP140" s="36">
        <f>$F$140*$DB$140</f>
        <v>22820893</v>
      </c>
      <c r="EQ140" s="36"/>
      <c r="ER140" s="36"/>
      <c r="ES140" s="36"/>
      <c r="ET140" s="36"/>
      <c r="EU140" s="36"/>
      <c r="EV140" s="36"/>
      <c r="EW140" s="36"/>
      <c r="EX140" s="36"/>
      <c r="EY140" s="36"/>
      <c r="EZ140" s="36"/>
      <c r="FA140" s="36"/>
      <c r="FB140" s="77"/>
      <c r="FC140" s="36"/>
      <c r="FD140" s="36"/>
      <c r="FE140" s="36"/>
      <c r="FF140" s="36"/>
      <c r="FG140" s="36"/>
      <c r="FH140" s="36"/>
      <c r="FI140" s="36"/>
      <c r="FJ140" s="36"/>
      <c r="FK140" s="36"/>
      <c r="FL140" s="36"/>
      <c r="FM140" s="36"/>
      <c r="FN140" s="36"/>
      <c r="FO140" s="77"/>
      <c r="FP140" s="36"/>
      <c r="FQ140" s="36"/>
      <c r="FR140" s="36"/>
      <c r="FS140" s="36"/>
      <c r="FT140" s="36"/>
      <c r="FU140" s="36"/>
      <c r="FV140" s="36"/>
      <c r="FW140" s="36"/>
      <c r="FX140" s="36"/>
      <c r="FY140" s="36"/>
      <c r="FZ140" s="36"/>
      <c r="GA140" s="36"/>
      <c r="GB140" s="77"/>
      <c r="GC140" s="36">
        <f>$I$140*$DB$140</f>
        <v>5041326</v>
      </c>
      <c r="GD140" s="36"/>
      <c r="GE140" s="36"/>
      <c r="GF140" s="36"/>
      <c r="GG140" s="36"/>
      <c r="GH140" s="36"/>
      <c r="GI140" s="36"/>
      <c r="GJ140" s="36"/>
      <c r="GK140" s="36"/>
      <c r="GL140" s="36"/>
      <c r="GM140" s="36"/>
      <c r="GN140" s="36"/>
      <c r="GO140" s="77"/>
      <c r="GP140" s="36">
        <f>SUM(DC140:GO140)</f>
        <v>114748430</v>
      </c>
      <c r="GQ140" s="38">
        <f>GP140*(1+$E$11)^-6</f>
        <v>85627045.2058803</v>
      </c>
      <c r="GR140" s="38">
        <f>CZ140+GP140</f>
        <v>168070180.615</v>
      </c>
      <c r="GS140" s="51">
        <f aca="true" t="shared" si="512" ref="GS140:GS161">DA140+GQ140</f>
        <v>125416556.49041188</v>
      </c>
      <c r="GT140" s="36"/>
    </row>
    <row r="141" spans="1:202" ht="15.75">
      <c r="A141" s="9">
        <v>2002</v>
      </c>
      <c r="B141" s="49">
        <v>2009</v>
      </c>
      <c r="C141" s="31">
        <f aca="true" t="shared" si="513" ref="C141:K141">C26</f>
        <v>311</v>
      </c>
      <c r="D141" s="31">
        <f t="shared" si="513"/>
        <v>124</v>
      </c>
      <c r="E141" s="31">
        <f t="shared" si="513"/>
        <v>1419</v>
      </c>
      <c r="F141" s="31">
        <f t="shared" si="513"/>
        <v>473</v>
      </c>
      <c r="G141" s="31">
        <f t="shared" si="513"/>
        <v>156</v>
      </c>
      <c r="H141" s="31">
        <f t="shared" si="513"/>
        <v>52</v>
      </c>
      <c r="I141" s="31">
        <f t="shared" si="513"/>
        <v>105</v>
      </c>
      <c r="J141" s="84">
        <f t="shared" si="513"/>
        <v>2205</v>
      </c>
      <c r="K141" s="86">
        <f t="shared" si="513"/>
        <v>2640</v>
      </c>
      <c r="L141" s="36">
        <f>$F$135*0.1295</f>
        <v>2849.9065</v>
      </c>
      <c r="M141" s="36">
        <f aca="true" t="shared" si="514" ref="M141:M149">$C$140*$L$140</f>
        <v>6056051.3125</v>
      </c>
      <c r="N141" s="36">
        <f>$C$141*$L$141</f>
        <v>886320.9215</v>
      </c>
      <c r="O141" s="36"/>
      <c r="P141" s="36"/>
      <c r="Q141" s="36"/>
      <c r="R141" s="36"/>
      <c r="S141" s="36"/>
      <c r="T141" s="36"/>
      <c r="U141" s="36"/>
      <c r="V141" s="36"/>
      <c r="W141" s="36"/>
      <c r="X141" s="36"/>
      <c r="Y141" s="47"/>
      <c r="Z141" s="36">
        <f aca="true" t="shared" si="515" ref="Z141:Z149">$D$140*$L$140</f>
        <v>2507917.72</v>
      </c>
      <c r="AA141" s="36">
        <f>$D$141*$L$141</f>
        <v>353388.406</v>
      </c>
      <c r="AB141" s="36"/>
      <c r="AC141" s="36"/>
      <c r="AD141" s="36"/>
      <c r="AE141" s="36"/>
      <c r="AF141" s="36"/>
      <c r="AG141" s="36"/>
      <c r="AH141" s="36"/>
      <c r="AI141" s="36"/>
      <c r="AJ141" s="36"/>
      <c r="AK141" s="36"/>
      <c r="AL141" s="47"/>
      <c r="AM141" s="36">
        <f aca="true" t="shared" si="516" ref="AM141:AM149">$E$140*$L$140</f>
        <v>31810656.353</v>
      </c>
      <c r="AN141" s="36">
        <f>$E$141*$L$141</f>
        <v>4044017.3235</v>
      </c>
      <c r="AO141" s="36"/>
      <c r="AP141" s="36"/>
      <c r="AQ141" s="36"/>
      <c r="AR141" s="36"/>
      <c r="AS141" s="36"/>
      <c r="AT141" s="36"/>
      <c r="AU141" s="36"/>
      <c r="AV141" s="36"/>
      <c r="AW141" s="36"/>
      <c r="AX141" s="36"/>
      <c r="AY141" s="47"/>
      <c r="AZ141" s="36">
        <f aca="true" t="shared" si="517" ref="AZ141:AZ149">$F$140*$L$140</f>
        <v>10604502.0865</v>
      </c>
      <c r="BA141" s="36">
        <f>$F$141*$L$141</f>
        <v>1348005.7745</v>
      </c>
      <c r="BB141" s="36"/>
      <c r="BC141" s="36"/>
      <c r="BD141" s="36"/>
      <c r="BE141" s="36"/>
      <c r="BF141" s="36"/>
      <c r="BG141" s="36"/>
      <c r="BH141" s="36"/>
      <c r="BI141" s="36"/>
      <c r="BJ141" s="36"/>
      <c r="BK141" s="36"/>
      <c r="BL141" s="47"/>
      <c r="BM141" s="36"/>
      <c r="BN141" s="36"/>
      <c r="BO141" s="36"/>
      <c r="BP141" s="36"/>
      <c r="BQ141" s="36"/>
      <c r="BR141" s="36"/>
      <c r="BS141" s="36"/>
      <c r="BT141" s="36"/>
      <c r="BU141" s="36"/>
      <c r="BV141" s="36"/>
      <c r="BW141" s="36"/>
      <c r="BX141" s="36"/>
      <c r="BY141" s="47"/>
      <c r="BZ141" s="36"/>
      <c r="CA141" s="36"/>
      <c r="CB141" s="36"/>
      <c r="CC141" s="36"/>
      <c r="CD141" s="36"/>
      <c r="CE141" s="36"/>
      <c r="CF141" s="36"/>
      <c r="CG141" s="36"/>
      <c r="CH141" s="36"/>
      <c r="CI141" s="36"/>
      <c r="CJ141" s="36"/>
      <c r="CK141" s="36"/>
      <c r="CL141" s="47"/>
      <c r="CM141" s="36">
        <f aca="true" t="shared" si="518" ref="CM141:CM149">$I$140*$L$140</f>
        <v>2342623.143</v>
      </c>
      <c r="CN141" s="36">
        <f>$I$141*$L$141</f>
        <v>299240.1825</v>
      </c>
      <c r="CO141" s="36"/>
      <c r="CP141" s="36"/>
      <c r="CQ141" s="36"/>
      <c r="CR141" s="36"/>
      <c r="CS141" s="36"/>
      <c r="CT141" s="36"/>
      <c r="CU141" s="36"/>
      <c r="CV141" s="36"/>
      <c r="CW141" s="36"/>
      <c r="CX141" s="36"/>
      <c r="CY141" s="36"/>
      <c r="CZ141" s="36">
        <f t="shared" si="511"/>
        <v>60252723.22299999</v>
      </c>
      <c r="DA141" s="38">
        <f>CZ141*(1+$E$10)^-7</f>
        <v>42820485.48408369</v>
      </c>
      <c r="DB141" s="47">
        <f>$H$135</f>
        <v>6133</v>
      </c>
      <c r="DC141" s="36">
        <f aca="true" t="shared" si="519" ref="DC141:DC149">$C$140*$DB$140</f>
        <v>13032625</v>
      </c>
      <c r="DD141" s="36">
        <f>$C$141*$DB$141</f>
        <v>1907363</v>
      </c>
      <c r="DE141" s="36"/>
      <c r="DF141" s="36"/>
      <c r="DG141" s="36"/>
      <c r="DH141" s="36"/>
      <c r="DI141" s="36"/>
      <c r="DJ141" s="36"/>
      <c r="DK141" s="36"/>
      <c r="DL141" s="36"/>
      <c r="DM141" s="36"/>
      <c r="DN141" s="36"/>
      <c r="DO141" s="47"/>
      <c r="DP141" s="36">
        <f aca="true" t="shared" si="520" ref="DP141:DP149">$D$140*$DB$140</f>
        <v>5397040</v>
      </c>
      <c r="DQ141" s="36">
        <f>$D$141*$DB$141</f>
        <v>760492</v>
      </c>
      <c r="DR141" s="36"/>
      <c r="DS141" s="36"/>
      <c r="DT141" s="36"/>
      <c r="DU141" s="36"/>
      <c r="DV141" s="36"/>
      <c r="DW141" s="36"/>
      <c r="DX141" s="36"/>
      <c r="DY141" s="36"/>
      <c r="DZ141" s="36"/>
      <c r="EA141" s="36"/>
      <c r="EB141" s="47"/>
      <c r="EC141" s="36">
        <f aca="true" t="shared" si="521" ref="EC141:EC149">$E$140*$DB$140</f>
        <v>68456546</v>
      </c>
      <c r="ED141" s="36">
        <f>$E$141*$DB$141</f>
        <v>8702727</v>
      </c>
      <c r="EE141" s="36"/>
      <c r="EF141" s="36"/>
      <c r="EG141" s="36"/>
      <c r="EH141" s="36"/>
      <c r="EI141" s="36"/>
      <c r="EJ141" s="36"/>
      <c r="EK141" s="36"/>
      <c r="EL141" s="36"/>
      <c r="EM141" s="36"/>
      <c r="EN141" s="36"/>
      <c r="EO141" s="47"/>
      <c r="EP141" s="36">
        <f aca="true" t="shared" si="522" ref="EP141:EP149">$F$140*$DB$140</f>
        <v>22820893</v>
      </c>
      <c r="EQ141" s="36">
        <f>$F$141*$DB$141</f>
        <v>2900909</v>
      </c>
      <c r="ER141" s="36"/>
      <c r="ES141" s="36"/>
      <c r="ET141" s="36"/>
      <c r="EU141" s="36"/>
      <c r="EV141" s="36"/>
      <c r="EW141" s="36"/>
      <c r="EX141" s="36"/>
      <c r="EY141" s="36"/>
      <c r="EZ141" s="36"/>
      <c r="FA141" s="36"/>
      <c r="FB141" s="47"/>
      <c r="FC141" s="36"/>
      <c r="FD141" s="36"/>
      <c r="FE141" s="36"/>
      <c r="FF141" s="36"/>
      <c r="FG141" s="36"/>
      <c r="FH141" s="36"/>
      <c r="FI141" s="36"/>
      <c r="FJ141" s="36"/>
      <c r="FK141" s="36"/>
      <c r="FL141" s="36"/>
      <c r="FM141" s="36"/>
      <c r="FN141" s="36"/>
      <c r="FO141" s="47"/>
      <c r="FP141" s="36"/>
      <c r="FQ141" s="36"/>
      <c r="FR141" s="36"/>
      <c r="FS141" s="36"/>
      <c r="FT141" s="36"/>
      <c r="FU141" s="36"/>
      <c r="FV141" s="36"/>
      <c r="FW141" s="36"/>
      <c r="FX141" s="36"/>
      <c r="FY141" s="36"/>
      <c r="FZ141" s="36"/>
      <c r="GA141" s="36"/>
      <c r="GB141" s="47"/>
      <c r="GC141" s="36">
        <f aca="true" t="shared" si="523" ref="GC141:GC149">$I$140*$DB$140</f>
        <v>5041326</v>
      </c>
      <c r="GD141" s="36">
        <f>$I$141*$DB$141</f>
        <v>643965</v>
      </c>
      <c r="GE141" s="36"/>
      <c r="GF141" s="36"/>
      <c r="GG141" s="36"/>
      <c r="GH141" s="36"/>
      <c r="GI141" s="36"/>
      <c r="GJ141" s="36"/>
      <c r="GK141" s="36"/>
      <c r="GL141" s="36"/>
      <c r="GM141" s="36"/>
      <c r="GN141" s="36"/>
      <c r="GO141" s="47"/>
      <c r="GP141" s="36">
        <f>SUM(DC141:GO141)</f>
        <v>129663886</v>
      </c>
      <c r="GQ141" s="38">
        <f>GP141*(1+$E$11)^-7</f>
        <v>92149702.97232044</v>
      </c>
      <c r="GR141" s="38">
        <f aca="true" t="shared" si="524" ref="GR141:GR161">CZ141+GP141</f>
        <v>189916609.223</v>
      </c>
      <c r="GS141" s="52">
        <f t="shared" si="512"/>
        <v>134970188.45640412</v>
      </c>
      <c r="GT141" s="36"/>
    </row>
    <row r="142" spans="1:202" ht="15.75">
      <c r="A142" s="9">
        <v>2003</v>
      </c>
      <c r="B142" s="49">
        <v>2010</v>
      </c>
      <c r="C142" s="31">
        <f aca="true" t="shared" si="525" ref="C142:K142">C27</f>
        <v>326</v>
      </c>
      <c r="D142" s="31">
        <f t="shared" si="525"/>
        <v>128</v>
      </c>
      <c r="E142" s="31">
        <f t="shared" si="525"/>
        <v>1493</v>
      </c>
      <c r="F142" s="31">
        <f t="shared" si="525"/>
        <v>498</v>
      </c>
      <c r="G142" s="31">
        <f t="shared" si="525"/>
        <v>172</v>
      </c>
      <c r="H142" s="31">
        <f t="shared" si="525"/>
        <v>57</v>
      </c>
      <c r="I142" s="31">
        <f t="shared" si="525"/>
        <v>110</v>
      </c>
      <c r="J142" s="84">
        <f t="shared" si="525"/>
        <v>2330</v>
      </c>
      <c r="K142" s="86">
        <f t="shared" si="525"/>
        <v>2784</v>
      </c>
      <c r="L142" s="36">
        <f aca="true" t="shared" si="526" ref="L142:L152">$F$136*0.1295</f>
        <v>2849.9065</v>
      </c>
      <c r="M142" s="36">
        <f t="shared" si="514"/>
        <v>6056051.3125</v>
      </c>
      <c r="N142" s="36">
        <f aca="true" t="shared" si="527" ref="N142:N150">$C$141*$L$141</f>
        <v>886320.9215</v>
      </c>
      <c r="O142" s="36">
        <f>$C$142*$L$142</f>
        <v>929069.519</v>
      </c>
      <c r="P142" s="36"/>
      <c r="Q142" s="36"/>
      <c r="R142" s="36"/>
      <c r="S142" s="36"/>
      <c r="T142" s="36"/>
      <c r="U142" s="36"/>
      <c r="V142" s="36"/>
      <c r="W142" s="36"/>
      <c r="X142" s="36"/>
      <c r="Y142" s="47"/>
      <c r="Z142" s="36">
        <f t="shared" si="515"/>
        <v>2507917.72</v>
      </c>
      <c r="AA142" s="36">
        <f aca="true" t="shared" si="528" ref="AA142:AA150">$D$141*$L$141</f>
        <v>353388.406</v>
      </c>
      <c r="AB142" s="36">
        <f>$D$142*$L$142</f>
        <v>364788.032</v>
      </c>
      <c r="AC142" s="36"/>
      <c r="AD142" s="36"/>
      <c r="AE142" s="36"/>
      <c r="AF142" s="36"/>
      <c r="AG142" s="36"/>
      <c r="AH142" s="36"/>
      <c r="AI142" s="36"/>
      <c r="AJ142" s="36"/>
      <c r="AK142" s="36"/>
      <c r="AL142" s="47"/>
      <c r="AM142" s="36">
        <f t="shared" si="516"/>
        <v>31810656.353</v>
      </c>
      <c r="AN142" s="36">
        <f aca="true" t="shared" si="529" ref="AN142:AN150">$E$141*$L$141</f>
        <v>4044017.3235</v>
      </c>
      <c r="AO142" s="36">
        <f>$E$142*$L$142</f>
        <v>4254910.4045</v>
      </c>
      <c r="AP142" s="36"/>
      <c r="AQ142" s="36"/>
      <c r="AR142" s="36"/>
      <c r="AS142" s="36"/>
      <c r="AT142" s="36"/>
      <c r="AU142" s="36"/>
      <c r="AV142" s="36"/>
      <c r="AW142" s="36"/>
      <c r="AX142" s="36"/>
      <c r="AY142" s="47"/>
      <c r="AZ142" s="36">
        <f t="shared" si="517"/>
        <v>10604502.0865</v>
      </c>
      <c r="BA142" s="36">
        <f aca="true" t="shared" si="530" ref="BA142:BA150">$F$141*$L$141</f>
        <v>1348005.7745</v>
      </c>
      <c r="BB142" s="36">
        <f>$F$142*$L$142</f>
        <v>1419253.437</v>
      </c>
      <c r="BC142" s="36"/>
      <c r="BD142" s="36"/>
      <c r="BE142" s="36"/>
      <c r="BF142" s="36"/>
      <c r="BG142" s="36"/>
      <c r="BH142" s="36"/>
      <c r="BI142" s="36"/>
      <c r="BJ142" s="36"/>
      <c r="BK142" s="36"/>
      <c r="BL142" s="47"/>
      <c r="BM142" s="36"/>
      <c r="BN142" s="36"/>
      <c r="BO142" s="36"/>
      <c r="BP142" s="36"/>
      <c r="BQ142" s="36"/>
      <c r="BR142" s="36"/>
      <c r="BS142" s="36"/>
      <c r="BT142" s="36"/>
      <c r="BU142" s="36"/>
      <c r="BV142" s="36"/>
      <c r="BW142" s="36"/>
      <c r="BX142" s="36"/>
      <c r="BY142" s="47"/>
      <c r="BZ142" s="36"/>
      <c r="CA142" s="36"/>
      <c r="CB142" s="36"/>
      <c r="CC142" s="36"/>
      <c r="CD142" s="36"/>
      <c r="CE142" s="36"/>
      <c r="CF142" s="36"/>
      <c r="CG142" s="36"/>
      <c r="CH142" s="36"/>
      <c r="CI142" s="36"/>
      <c r="CJ142" s="36"/>
      <c r="CK142" s="36"/>
      <c r="CL142" s="47"/>
      <c r="CM142" s="36">
        <f t="shared" si="518"/>
        <v>2342623.143</v>
      </c>
      <c r="CN142" s="36">
        <f aca="true" t="shared" si="531" ref="CN142:CN150">$I$141*$L$141</f>
        <v>299240.1825</v>
      </c>
      <c r="CO142" s="36">
        <f>$I$142*$L$142</f>
        <v>313489.715</v>
      </c>
      <c r="CP142" s="36"/>
      <c r="CQ142" s="36"/>
      <c r="CR142" s="36"/>
      <c r="CS142" s="36"/>
      <c r="CT142" s="36"/>
      <c r="CU142" s="36"/>
      <c r="CV142" s="36"/>
      <c r="CW142" s="36"/>
      <c r="CX142" s="36"/>
      <c r="CY142" s="36"/>
      <c r="CZ142" s="36">
        <f t="shared" si="511"/>
        <v>67534234.3305</v>
      </c>
      <c r="DA142" s="38">
        <f>CZ142*(1+$E$10)^-8</f>
        <v>45709828.07935149</v>
      </c>
      <c r="DB142" s="78">
        <f>$H$136</f>
        <v>6133</v>
      </c>
      <c r="DC142" s="36">
        <f t="shared" si="519"/>
        <v>13032625</v>
      </c>
      <c r="DD142" s="36">
        <f aca="true" t="shared" si="532" ref="DD142:DD150">$C$141*$DB$141</f>
        <v>1907363</v>
      </c>
      <c r="DE142" s="36">
        <f>$C$142*$DB$142</f>
        <v>1999358</v>
      </c>
      <c r="DF142" s="36"/>
      <c r="DG142" s="36"/>
      <c r="DH142" s="36"/>
      <c r="DI142" s="36"/>
      <c r="DJ142" s="36"/>
      <c r="DK142" s="36"/>
      <c r="DL142" s="36"/>
      <c r="DM142" s="36"/>
      <c r="DN142" s="36"/>
      <c r="DO142" s="47"/>
      <c r="DP142" s="36">
        <f t="shared" si="520"/>
        <v>5397040</v>
      </c>
      <c r="DQ142" s="36">
        <f aca="true" t="shared" si="533" ref="DQ142:DQ150">$D$141*$DB$141</f>
        <v>760492</v>
      </c>
      <c r="DR142" s="36">
        <f>$D$142*$DB$142</f>
        <v>785024</v>
      </c>
      <c r="DS142" s="36"/>
      <c r="DT142" s="36"/>
      <c r="DU142" s="36"/>
      <c r="DV142" s="36"/>
      <c r="DW142" s="36"/>
      <c r="DX142" s="36"/>
      <c r="DY142" s="36"/>
      <c r="DZ142" s="36"/>
      <c r="EA142" s="36"/>
      <c r="EB142" s="47"/>
      <c r="EC142" s="36">
        <f t="shared" si="521"/>
        <v>68456546</v>
      </c>
      <c r="ED142" s="36">
        <f aca="true" t="shared" si="534" ref="ED142:ED150">$E$141*$DB$141</f>
        <v>8702727</v>
      </c>
      <c r="EE142" s="36">
        <f>$E$142*$DB$142</f>
        <v>9156569</v>
      </c>
      <c r="EF142" s="36"/>
      <c r="EG142" s="36"/>
      <c r="EH142" s="36"/>
      <c r="EI142" s="36"/>
      <c r="EJ142" s="36"/>
      <c r="EK142" s="36"/>
      <c r="EL142" s="36"/>
      <c r="EM142" s="36"/>
      <c r="EN142" s="36"/>
      <c r="EO142" s="47"/>
      <c r="EP142" s="36">
        <f t="shared" si="522"/>
        <v>22820893</v>
      </c>
      <c r="EQ142" s="36">
        <f aca="true" t="shared" si="535" ref="EQ142:EQ150">$F$141*$DB$141</f>
        <v>2900909</v>
      </c>
      <c r="ER142" s="36">
        <f>$F$142*$DB$142</f>
        <v>3054234</v>
      </c>
      <c r="ES142" s="36"/>
      <c r="ET142" s="36"/>
      <c r="EU142" s="36"/>
      <c r="EV142" s="36"/>
      <c r="EW142" s="36"/>
      <c r="EX142" s="36"/>
      <c r="EY142" s="36"/>
      <c r="EZ142" s="36"/>
      <c r="FA142" s="36"/>
      <c r="FB142" s="47"/>
      <c r="FC142" s="36"/>
      <c r="FD142" s="36"/>
      <c r="FE142" s="36"/>
      <c r="FF142" s="36"/>
      <c r="FG142" s="36"/>
      <c r="FH142" s="36"/>
      <c r="FI142" s="36"/>
      <c r="FJ142" s="36"/>
      <c r="FK142" s="36"/>
      <c r="FL142" s="36"/>
      <c r="FM142" s="36"/>
      <c r="FN142" s="36"/>
      <c r="FO142" s="47"/>
      <c r="FP142" s="36"/>
      <c r="FQ142" s="36"/>
      <c r="FR142" s="36"/>
      <c r="FS142" s="36"/>
      <c r="FT142" s="36"/>
      <c r="FU142" s="36"/>
      <c r="FV142" s="36"/>
      <c r="FW142" s="36"/>
      <c r="FX142" s="36"/>
      <c r="FY142" s="36"/>
      <c r="FZ142" s="36"/>
      <c r="GA142" s="36"/>
      <c r="GB142" s="47"/>
      <c r="GC142" s="36">
        <f t="shared" si="523"/>
        <v>5041326</v>
      </c>
      <c r="GD142" s="36">
        <f aca="true" t="shared" si="536" ref="GD142:GD150">$I$141*$DB$141</f>
        <v>643965</v>
      </c>
      <c r="GE142" s="36">
        <f>$I$142*$DB$142</f>
        <v>674630</v>
      </c>
      <c r="GF142" s="36"/>
      <c r="GG142" s="36"/>
      <c r="GH142" s="36"/>
      <c r="GI142" s="36"/>
      <c r="GJ142" s="36"/>
      <c r="GK142" s="36"/>
      <c r="GL142" s="36"/>
      <c r="GM142" s="36"/>
      <c r="GN142" s="36"/>
      <c r="GO142" s="47"/>
      <c r="GP142" s="36">
        <f>SUM(DC142:GO142)</f>
        <v>145333701</v>
      </c>
      <c r="GQ142" s="38">
        <f>GP142*(1+$E$11)^-8</f>
        <v>98367569.46610798</v>
      </c>
      <c r="GR142" s="38">
        <f t="shared" si="524"/>
        <v>212867935.3305</v>
      </c>
      <c r="GS142" s="52">
        <f t="shared" si="512"/>
        <v>144077397.54545948</v>
      </c>
      <c r="GT142" s="9"/>
    </row>
    <row r="143" spans="1:202" ht="15.75">
      <c r="A143" s="9">
        <v>2004</v>
      </c>
      <c r="B143" s="49">
        <v>2011</v>
      </c>
      <c r="C143" s="31">
        <f aca="true" t="shared" si="537" ref="C143:K143">C28</f>
        <v>340</v>
      </c>
      <c r="D143" s="31">
        <f t="shared" si="537"/>
        <v>132</v>
      </c>
      <c r="E143" s="31">
        <f t="shared" si="537"/>
        <v>1571</v>
      </c>
      <c r="F143" s="31">
        <f t="shared" si="537"/>
        <v>524</v>
      </c>
      <c r="G143" s="31">
        <f t="shared" si="537"/>
        <v>189</v>
      </c>
      <c r="H143" s="31">
        <f t="shared" si="537"/>
        <v>63</v>
      </c>
      <c r="I143" s="31">
        <f t="shared" si="537"/>
        <v>116</v>
      </c>
      <c r="J143" s="84">
        <f t="shared" si="537"/>
        <v>2463</v>
      </c>
      <c r="K143" s="86">
        <f t="shared" si="537"/>
        <v>2935</v>
      </c>
      <c r="L143" s="36">
        <f t="shared" si="526"/>
        <v>2849.9065</v>
      </c>
      <c r="M143" s="36">
        <f t="shared" si="514"/>
        <v>6056051.3125</v>
      </c>
      <c r="N143" s="36">
        <f t="shared" si="527"/>
        <v>886320.9215</v>
      </c>
      <c r="O143" s="36">
        <f aca="true" t="shared" si="538" ref="O143:O151">$C$142*$L$142</f>
        <v>929069.519</v>
      </c>
      <c r="P143" s="36">
        <f>$C$143*$L$143</f>
        <v>968968.21</v>
      </c>
      <c r="Q143" s="36"/>
      <c r="R143" s="36"/>
      <c r="S143" s="36"/>
      <c r="T143" s="36"/>
      <c r="U143" s="36"/>
      <c r="V143" s="36"/>
      <c r="W143" s="36"/>
      <c r="X143" s="36"/>
      <c r="Y143" s="47"/>
      <c r="Z143" s="36">
        <f t="shared" si="515"/>
        <v>2507917.72</v>
      </c>
      <c r="AA143" s="36">
        <f t="shared" si="528"/>
        <v>353388.406</v>
      </c>
      <c r="AB143" s="36">
        <f aca="true" t="shared" si="539" ref="AB143:AB151">$D$142*$L$142</f>
        <v>364788.032</v>
      </c>
      <c r="AC143" s="36">
        <f>$D$143*$L$143</f>
        <v>376187.658</v>
      </c>
      <c r="AD143" s="36"/>
      <c r="AE143" s="36"/>
      <c r="AF143" s="36"/>
      <c r="AG143" s="36"/>
      <c r="AH143" s="36"/>
      <c r="AI143" s="36"/>
      <c r="AJ143" s="36"/>
      <c r="AK143" s="36"/>
      <c r="AL143" s="47"/>
      <c r="AM143" s="36">
        <f t="shared" si="516"/>
        <v>31810656.353</v>
      </c>
      <c r="AN143" s="36">
        <f t="shared" si="529"/>
        <v>4044017.3235</v>
      </c>
      <c r="AO143" s="36">
        <f aca="true" t="shared" si="540" ref="AO143:AO151">$E$142*$L$142</f>
        <v>4254910.4045</v>
      </c>
      <c r="AP143" s="36">
        <f>$E$143*$L$143</f>
        <v>4477203.1115</v>
      </c>
      <c r="AQ143" s="36"/>
      <c r="AR143" s="36"/>
      <c r="AS143" s="36"/>
      <c r="AT143" s="36"/>
      <c r="AU143" s="36"/>
      <c r="AV143" s="36"/>
      <c r="AW143" s="36"/>
      <c r="AX143" s="36"/>
      <c r="AY143" s="47"/>
      <c r="AZ143" s="36">
        <f t="shared" si="517"/>
        <v>10604502.0865</v>
      </c>
      <c r="BA143" s="36">
        <f t="shared" si="530"/>
        <v>1348005.7745</v>
      </c>
      <c r="BB143" s="36">
        <f aca="true" t="shared" si="541" ref="BB143:BB151">$F$142*$L$142</f>
        <v>1419253.437</v>
      </c>
      <c r="BC143" s="36">
        <f>$F$143*$L$143</f>
        <v>1493351.006</v>
      </c>
      <c r="BD143" s="36"/>
      <c r="BE143" s="36"/>
      <c r="BF143" s="36"/>
      <c r="BG143" s="36"/>
      <c r="BH143" s="36"/>
      <c r="BI143" s="36"/>
      <c r="BJ143" s="36"/>
      <c r="BK143" s="36"/>
      <c r="BL143" s="47"/>
      <c r="BM143" s="36"/>
      <c r="BN143" s="36"/>
      <c r="BO143" s="36"/>
      <c r="BP143" s="36"/>
      <c r="BQ143" s="36"/>
      <c r="BR143" s="36"/>
      <c r="BS143" s="36"/>
      <c r="BT143" s="36"/>
      <c r="BU143" s="36"/>
      <c r="BV143" s="36"/>
      <c r="BW143" s="36"/>
      <c r="BX143" s="36"/>
      <c r="BY143" s="47"/>
      <c r="BZ143" s="36"/>
      <c r="CA143" s="36"/>
      <c r="CB143" s="36"/>
      <c r="CC143" s="36"/>
      <c r="CD143" s="36"/>
      <c r="CE143" s="36"/>
      <c r="CF143" s="36"/>
      <c r="CG143" s="36"/>
      <c r="CH143" s="36"/>
      <c r="CI143" s="36"/>
      <c r="CJ143" s="36"/>
      <c r="CK143" s="36"/>
      <c r="CL143" s="47"/>
      <c r="CM143" s="36">
        <f t="shared" si="518"/>
        <v>2342623.143</v>
      </c>
      <c r="CN143" s="36">
        <f t="shared" si="531"/>
        <v>299240.1825</v>
      </c>
      <c r="CO143" s="36">
        <f aca="true" t="shared" si="542" ref="CO143:CO151">$I$142*$L$142</f>
        <v>313489.715</v>
      </c>
      <c r="CP143" s="36">
        <f>$I$143*$L$143</f>
        <v>330589.154</v>
      </c>
      <c r="CQ143" s="36"/>
      <c r="CR143" s="36"/>
      <c r="CS143" s="36"/>
      <c r="CT143" s="36"/>
      <c r="CU143" s="36"/>
      <c r="CV143" s="36"/>
      <c r="CW143" s="36"/>
      <c r="CX143" s="36"/>
      <c r="CY143" s="36"/>
      <c r="CZ143" s="36">
        <f t="shared" si="511"/>
        <v>75180533.47000001</v>
      </c>
      <c r="DA143" s="38">
        <f>CZ143*(1+$E$10)^-9</f>
        <v>48462042.20077254</v>
      </c>
      <c r="DB143" s="78">
        <f aca="true" t="shared" si="543" ref="DB143:DB152">$H$136</f>
        <v>6133</v>
      </c>
      <c r="DC143" s="36">
        <f t="shared" si="519"/>
        <v>13032625</v>
      </c>
      <c r="DD143" s="36">
        <f t="shared" si="532"/>
        <v>1907363</v>
      </c>
      <c r="DE143" s="36">
        <f aca="true" t="shared" si="544" ref="DE143:DE151">$C$142*$DB$142</f>
        <v>1999358</v>
      </c>
      <c r="DF143" s="36">
        <f>$C$143*$DB$143</f>
        <v>2085220</v>
      </c>
      <c r="DG143" s="36"/>
      <c r="DH143" s="36"/>
      <c r="DI143" s="36"/>
      <c r="DJ143" s="36"/>
      <c r="DK143" s="36"/>
      <c r="DL143" s="36"/>
      <c r="DM143" s="36"/>
      <c r="DN143" s="36"/>
      <c r="DO143" s="47"/>
      <c r="DP143" s="36">
        <f t="shared" si="520"/>
        <v>5397040</v>
      </c>
      <c r="DQ143" s="36">
        <f t="shared" si="533"/>
        <v>760492</v>
      </c>
      <c r="DR143" s="36">
        <f aca="true" t="shared" si="545" ref="DR143:DR151">$D$142*$DB$142</f>
        <v>785024</v>
      </c>
      <c r="DS143" s="36">
        <f>$D$143*$DB$143</f>
        <v>809556</v>
      </c>
      <c r="DT143" s="36"/>
      <c r="DU143" s="36"/>
      <c r="DV143" s="36"/>
      <c r="DW143" s="36"/>
      <c r="DX143" s="36"/>
      <c r="DY143" s="36"/>
      <c r="DZ143" s="36"/>
      <c r="EA143" s="36"/>
      <c r="EB143" s="47"/>
      <c r="EC143" s="36">
        <f t="shared" si="521"/>
        <v>68456546</v>
      </c>
      <c r="ED143" s="36">
        <f t="shared" si="534"/>
        <v>8702727</v>
      </c>
      <c r="EE143" s="36">
        <f aca="true" t="shared" si="546" ref="EE143:EE151">$E$142*$DB$142</f>
        <v>9156569</v>
      </c>
      <c r="EF143" s="36">
        <f>$E$143*$DB$143</f>
        <v>9634943</v>
      </c>
      <c r="EG143" s="36"/>
      <c r="EH143" s="36"/>
      <c r="EI143" s="36"/>
      <c r="EJ143" s="36"/>
      <c r="EK143" s="36"/>
      <c r="EL143" s="36"/>
      <c r="EM143" s="36"/>
      <c r="EN143" s="36"/>
      <c r="EO143" s="47"/>
      <c r="EP143" s="36">
        <f t="shared" si="522"/>
        <v>22820893</v>
      </c>
      <c r="EQ143" s="36">
        <f t="shared" si="535"/>
        <v>2900909</v>
      </c>
      <c r="ER143" s="36">
        <f aca="true" t="shared" si="547" ref="ER143:ER151">$F$142*$DB$142</f>
        <v>3054234</v>
      </c>
      <c r="ES143" s="36">
        <f>$F$143*$DB$143</f>
        <v>3213692</v>
      </c>
      <c r="ET143" s="36"/>
      <c r="EU143" s="36"/>
      <c r="EV143" s="36"/>
      <c r="EW143" s="36"/>
      <c r="EX143" s="36"/>
      <c r="EY143" s="36"/>
      <c r="EZ143" s="36"/>
      <c r="FA143" s="36"/>
      <c r="FB143" s="47"/>
      <c r="FC143" s="36"/>
      <c r="FD143" s="36"/>
      <c r="FE143" s="36"/>
      <c r="FF143" s="36"/>
      <c r="FG143" s="36"/>
      <c r="FH143" s="36"/>
      <c r="FI143" s="36"/>
      <c r="FJ143" s="36"/>
      <c r="FK143" s="36"/>
      <c r="FL143" s="36"/>
      <c r="FM143" s="36"/>
      <c r="FN143" s="36"/>
      <c r="FO143" s="47"/>
      <c r="FP143" s="36"/>
      <c r="FQ143" s="36"/>
      <c r="FR143" s="36"/>
      <c r="FS143" s="36"/>
      <c r="FT143" s="36"/>
      <c r="FU143" s="36"/>
      <c r="FV143" s="36"/>
      <c r="FW143" s="36"/>
      <c r="FX143" s="36"/>
      <c r="FY143" s="36"/>
      <c r="FZ143" s="36"/>
      <c r="GA143" s="36"/>
      <c r="GB143" s="47"/>
      <c r="GC143" s="36">
        <f t="shared" si="523"/>
        <v>5041326</v>
      </c>
      <c r="GD143" s="36">
        <f t="shared" si="536"/>
        <v>643965</v>
      </c>
      <c r="GE143" s="36">
        <f aca="true" t="shared" si="548" ref="GE143:GE151">$I$142*$DB$142</f>
        <v>674630</v>
      </c>
      <c r="GF143" s="36">
        <f>$I$143*$DB$143</f>
        <v>711428</v>
      </c>
      <c r="GG143" s="36"/>
      <c r="GH143" s="36"/>
      <c r="GI143" s="36"/>
      <c r="GJ143" s="36"/>
      <c r="GK143" s="36"/>
      <c r="GL143" s="36"/>
      <c r="GM143" s="36"/>
      <c r="GN143" s="36"/>
      <c r="GO143" s="47"/>
      <c r="GP143" s="36">
        <f>SUM(DC143:GO143)</f>
        <v>161788540</v>
      </c>
      <c r="GQ143" s="38">
        <f>GP143*(1+$E$11)^-9</f>
        <v>104290335.42585973</v>
      </c>
      <c r="GR143" s="38">
        <f t="shared" si="524"/>
        <v>236969073.47000003</v>
      </c>
      <c r="GS143" s="52">
        <f t="shared" si="512"/>
        <v>152752377.62663227</v>
      </c>
      <c r="GT143" s="9"/>
    </row>
    <row r="144" spans="1:202" ht="15.75">
      <c r="A144" s="9">
        <v>2005</v>
      </c>
      <c r="B144" s="49">
        <v>2012</v>
      </c>
      <c r="C144" s="31">
        <f aca="true" t="shared" si="549" ref="C144:K144">C29</f>
        <v>356</v>
      </c>
      <c r="D144" s="31">
        <f t="shared" si="549"/>
        <v>136</v>
      </c>
      <c r="E144" s="31">
        <f t="shared" si="549"/>
        <v>1652</v>
      </c>
      <c r="F144" s="31">
        <f t="shared" si="549"/>
        <v>551</v>
      </c>
      <c r="G144" s="31">
        <f t="shared" si="549"/>
        <v>209</v>
      </c>
      <c r="H144" s="31">
        <f t="shared" si="549"/>
        <v>70</v>
      </c>
      <c r="I144" s="31">
        <f t="shared" si="549"/>
        <v>122</v>
      </c>
      <c r="J144" s="84">
        <f t="shared" si="549"/>
        <v>2604</v>
      </c>
      <c r="K144" s="86">
        <f t="shared" si="549"/>
        <v>3096</v>
      </c>
      <c r="L144" s="36">
        <f t="shared" si="526"/>
        <v>2849.9065</v>
      </c>
      <c r="M144" s="36">
        <f t="shared" si="514"/>
        <v>6056051.3125</v>
      </c>
      <c r="N144" s="36">
        <f t="shared" si="527"/>
        <v>886320.9215</v>
      </c>
      <c r="O144" s="36">
        <f t="shared" si="538"/>
        <v>929069.519</v>
      </c>
      <c r="P144" s="36">
        <f aca="true" t="shared" si="550" ref="P144:P152">$C$143*$L$143</f>
        <v>968968.21</v>
      </c>
      <c r="Q144" s="36">
        <f>$C$144*$L$144</f>
        <v>1014566.714</v>
      </c>
      <c r="R144" s="36"/>
      <c r="S144" s="36"/>
      <c r="T144" s="36"/>
      <c r="U144" s="36"/>
      <c r="V144" s="36"/>
      <c r="W144" s="36"/>
      <c r="X144" s="36"/>
      <c r="Y144" s="47"/>
      <c r="Z144" s="36">
        <f t="shared" si="515"/>
        <v>2507917.72</v>
      </c>
      <c r="AA144" s="36">
        <f t="shared" si="528"/>
        <v>353388.406</v>
      </c>
      <c r="AB144" s="36">
        <f t="shared" si="539"/>
        <v>364788.032</v>
      </c>
      <c r="AC144" s="36">
        <f aca="true" t="shared" si="551" ref="AC144:AC152">$D$143*$L$143</f>
        <v>376187.658</v>
      </c>
      <c r="AD144" s="36">
        <f>$D$144*$L$144</f>
        <v>387587.284</v>
      </c>
      <c r="AE144" s="36"/>
      <c r="AF144" s="36"/>
      <c r="AG144" s="36"/>
      <c r="AH144" s="36"/>
      <c r="AI144" s="36"/>
      <c r="AJ144" s="36"/>
      <c r="AK144" s="36"/>
      <c r="AL144" s="47"/>
      <c r="AM144" s="36">
        <f t="shared" si="516"/>
        <v>31810656.353</v>
      </c>
      <c r="AN144" s="36">
        <f t="shared" si="529"/>
        <v>4044017.3235</v>
      </c>
      <c r="AO144" s="36">
        <f t="shared" si="540"/>
        <v>4254910.4045</v>
      </c>
      <c r="AP144" s="36">
        <f aca="true" t="shared" si="552" ref="AP144:AP152">$E$143*$L$143</f>
        <v>4477203.1115</v>
      </c>
      <c r="AQ144" s="36">
        <f>$E$144*$L$144</f>
        <v>4708045.538</v>
      </c>
      <c r="AR144" s="36"/>
      <c r="AS144" s="36"/>
      <c r="AT144" s="36"/>
      <c r="AU144" s="36"/>
      <c r="AV144" s="36"/>
      <c r="AW144" s="36"/>
      <c r="AX144" s="36"/>
      <c r="AY144" s="47"/>
      <c r="AZ144" s="36">
        <f t="shared" si="517"/>
        <v>10604502.0865</v>
      </c>
      <c r="BA144" s="36">
        <f t="shared" si="530"/>
        <v>1348005.7745</v>
      </c>
      <c r="BB144" s="36">
        <f t="shared" si="541"/>
        <v>1419253.437</v>
      </c>
      <c r="BC144" s="36">
        <f aca="true" t="shared" si="553" ref="BC144:BC152">$F$143*$L$143</f>
        <v>1493351.006</v>
      </c>
      <c r="BD144" s="36">
        <f>$F$144*$L$144</f>
        <v>1570298.4815</v>
      </c>
      <c r="BE144" s="36"/>
      <c r="BF144" s="36"/>
      <c r="BG144" s="36"/>
      <c r="BH144" s="36"/>
      <c r="BI144" s="36"/>
      <c r="BJ144" s="36"/>
      <c r="BK144" s="36"/>
      <c r="BL144" s="47"/>
      <c r="BM144" s="36"/>
      <c r="BN144" s="36"/>
      <c r="BO144" s="36"/>
      <c r="BP144" s="36"/>
      <c r="BQ144" s="36"/>
      <c r="BR144" s="36"/>
      <c r="BS144" s="36"/>
      <c r="BT144" s="36"/>
      <c r="BU144" s="36"/>
      <c r="BV144" s="36"/>
      <c r="BW144" s="36"/>
      <c r="BX144" s="36"/>
      <c r="BY144" s="47"/>
      <c r="BZ144" s="36"/>
      <c r="CA144" s="36"/>
      <c r="CB144" s="36"/>
      <c r="CC144" s="36"/>
      <c r="CD144" s="36"/>
      <c r="CE144" s="36"/>
      <c r="CF144" s="36"/>
      <c r="CG144" s="36"/>
      <c r="CH144" s="36"/>
      <c r="CI144" s="36"/>
      <c r="CJ144" s="36"/>
      <c r="CK144" s="36"/>
      <c r="CL144" s="47"/>
      <c r="CM144" s="36">
        <f t="shared" si="518"/>
        <v>2342623.143</v>
      </c>
      <c r="CN144" s="36">
        <f t="shared" si="531"/>
        <v>299240.1825</v>
      </c>
      <c r="CO144" s="36">
        <f t="shared" si="542"/>
        <v>313489.715</v>
      </c>
      <c r="CP144" s="36">
        <f aca="true" t="shared" si="554" ref="CP144:CP152">$I$143*$L$143</f>
        <v>330589.154</v>
      </c>
      <c r="CQ144" s="36">
        <f>$I$144*$L$144</f>
        <v>347688.593</v>
      </c>
      <c r="CR144" s="36"/>
      <c r="CS144" s="36"/>
      <c r="CT144" s="36"/>
      <c r="CU144" s="36"/>
      <c r="CV144" s="36"/>
      <c r="CW144" s="36"/>
      <c r="CX144" s="36"/>
      <c r="CY144" s="36"/>
      <c r="CZ144" s="36">
        <f t="shared" si="511"/>
        <v>83208720.0805</v>
      </c>
      <c r="DA144" s="38">
        <f>CZ144*(1+$E$10)^-10</f>
        <v>51082936.06758207</v>
      </c>
      <c r="DB144" s="78">
        <f t="shared" si="543"/>
        <v>6133</v>
      </c>
      <c r="DC144" s="36">
        <f t="shared" si="519"/>
        <v>13032625</v>
      </c>
      <c r="DD144" s="36">
        <f t="shared" si="532"/>
        <v>1907363</v>
      </c>
      <c r="DE144" s="36">
        <f t="shared" si="544"/>
        <v>1999358</v>
      </c>
      <c r="DF144" s="36">
        <f aca="true" t="shared" si="555" ref="DF144:DF152">$C$143*$DB$143</f>
        <v>2085220</v>
      </c>
      <c r="DG144" s="36">
        <f>$C$144*$DB$144</f>
        <v>2183348</v>
      </c>
      <c r="DH144" s="36"/>
      <c r="DI144" s="36"/>
      <c r="DJ144" s="36"/>
      <c r="DK144" s="36"/>
      <c r="DL144" s="36"/>
      <c r="DM144" s="36"/>
      <c r="DN144" s="36"/>
      <c r="DO144" s="47"/>
      <c r="DP144" s="36">
        <f t="shared" si="520"/>
        <v>5397040</v>
      </c>
      <c r="DQ144" s="36">
        <f t="shared" si="533"/>
        <v>760492</v>
      </c>
      <c r="DR144" s="36">
        <f t="shared" si="545"/>
        <v>785024</v>
      </c>
      <c r="DS144" s="36">
        <f aca="true" t="shared" si="556" ref="DS144:DS152">$D$143*$DB$143</f>
        <v>809556</v>
      </c>
      <c r="DT144" s="36">
        <f>$D$144*$DB$144</f>
        <v>834088</v>
      </c>
      <c r="DU144" s="36"/>
      <c r="DV144" s="36"/>
      <c r="DW144" s="36"/>
      <c r="DX144" s="36"/>
      <c r="DY144" s="36"/>
      <c r="DZ144" s="36"/>
      <c r="EA144" s="36"/>
      <c r="EB144" s="47"/>
      <c r="EC144" s="36">
        <f t="shared" si="521"/>
        <v>68456546</v>
      </c>
      <c r="ED144" s="36">
        <f t="shared" si="534"/>
        <v>8702727</v>
      </c>
      <c r="EE144" s="36">
        <f t="shared" si="546"/>
        <v>9156569</v>
      </c>
      <c r="EF144" s="36">
        <f aca="true" t="shared" si="557" ref="EF144:EF152">$E$143*$DB$143</f>
        <v>9634943</v>
      </c>
      <c r="EG144" s="36">
        <f>$E$144*$DB$144</f>
        <v>10131716</v>
      </c>
      <c r="EH144" s="36"/>
      <c r="EI144" s="36"/>
      <c r="EJ144" s="36"/>
      <c r="EK144" s="36"/>
      <c r="EL144" s="36"/>
      <c r="EM144" s="36"/>
      <c r="EN144" s="36"/>
      <c r="EO144" s="47"/>
      <c r="EP144" s="36">
        <f t="shared" si="522"/>
        <v>22820893</v>
      </c>
      <c r="EQ144" s="36">
        <f t="shared" si="535"/>
        <v>2900909</v>
      </c>
      <c r="ER144" s="36">
        <f t="shared" si="547"/>
        <v>3054234</v>
      </c>
      <c r="ES144" s="36">
        <f aca="true" t="shared" si="558" ref="ES144:ES152">$F$143*$DB$143</f>
        <v>3213692</v>
      </c>
      <c r="ET144" s="36">
        <f>$F$144*$DB$144</f>
        <v>3379283</v>
      </c>
      <c r="EU144" s="36"/>
      <c r="EV144" s="36"/>
      <c r="EW144" s="36"/>
      <c r="EX144" s="36"/>
      <c r="EY144" s="36"/>
      <c r="EZ144" s="36"/>
      <c r="FA144" s="36"/>
      <c r="FB144" s="47"/>
      <c r="FC144" s="36"/>
      <c r="FD144" s="36"/>
      <c r="FE144" s="36"/>
      <c r="FF144" s="36"/>
      <c r="FG144" s="36"/>
      <c r="FH144" s="36"/>
      <c r="FI144" s="36"/>
      <c r="FJ144" s="36"/>
      <c r="FK144" s="36"/>
      <c r="FL144" s="36"/>
      <c r="FM144" s="36"/>
      <c r="FN144" s="36"/>
      <c r="FO144" s="47"/>
      <c r="FP144" s="36"/>
      <c r="FQ144" s="36"/>
      <c r="FR144" s="36"/>
      <c r="FS144" s="36"/>
      <c r="FT144" s="36"/>
      <c r="FU144" s="36"/>
      <c r="FV144" s="36"/>
      <c r="FW144" s="36"/>
      <c r="FX144" s="36"/>
      <c r="FY144" s="36"/>
      <c r="FZ144" s="36"/>
      <c r="GA144" s="36"/>
      <c r="GB144" s="47"/>
      <c r="GC144" s="36">
        <f t="shared" si="523"/>
        <v>5041326</v>
      </c>
      <c r="GD144" s="36">
        <f t="shared" si="536"/>
        <v>643965</v>
      </c>
      <c r="GE144" s="36">
        <f t="shared" si="548"/>
        <v>674630</v>
      </c>
      <c r="GF144" s="36">
        <f aca="true" t="shared" si="559" ref="GF144:GF152">$I$143*$DB$143</f>
        <v>711428</v>
      </c>
      <c r="GG144" s="36">
        <f>$I$144*$DB$144</f>
        <v>748226</v>
      </c>
      <c r="GH144" s="36"/>
      <c r="GI144" s="36"/>
      <c r="GJ144" s="36"/>
      <c r="GK144" s="36"/>
      <c r="GL144" s="36"/>
      <c r="GM144" s="36"/>
      <c r="GN144" s="36"/>
      <c r="GO144" s="47"/>
      <c r="GP144" s="36">
        <f>SUM(DC144:GO144)</f>
        <v>179065201</v>
      </c>
      <c r="GQ144" s="38">
        <f>GP144*(1+$E$11)^-10</f>
        <v>109930500.14184003</v>
      </c>
      <c r="GR144" s="38">
        <f t="shared" si="524"/>
        <v>262273921.0805</v>
      </c>
      <c r="GS144" s="52">
        <f t="shared" si="512"/>
        <v>161013436.2094221</v>
      </c>
      <c r="GT144" s="9"/>
    </row>
    <row r="145" spans="1:202" ht="15.75">
      <c r="A145" s="9">
        <v>2006</v>
      </c>
      <c r="B145" s="49">
        <v>2013</v>
      </c>
      <c r="C145" s="31">
        <f aca="true" t="shared" si="560" ref="C145:K145">C30</f>
        <v>372</v>
      </c>
      <c r="D145" s="31">
        <f t="shared" si="560"/>
        <v>140</v>
      </c>
      <c r="E145" s="31">
        <f t="shared" si="560"/>
        <v>1738</v>
      </c>
      <c r="F145" s="31">
        <f t="shared" si="560"/>
        <v>579</v>
      </c>
      <c r="G145" s="31">
        <f t="shared" si="560"/>
        <v>230</v>
      </c>
      <c r="H145" s="31">
        <f t="shared" si="560"/>
        <v>77</v>
      </c>
      <c r="I145" s="31">
        <f t="shared" si="560"/>
        <v>128</v>
      </c>
      <c r="J145" s="84">
        <f t="shared" si="560"/>
        <v>2752</v>
      </c>
      <c r="K145" s="86">
        <f t="shared" si="560"/>
        <v>3264</v>
      </c>
      <c r="L145" s="36">
        <f t="shared" si="526"/>
        <v>2849.9065</v>
      </c>
      <c r="M145" s="36">
        <f t="shared" si="514"/>
        <v>6056051.3125</v>
      </c>
      <c r="N145" s="36">
        <f t="shared" si="527"/>
        <v>886320.9215</v>
      </c>
      <c r="O145" s="36">
        <f t="shared" si="538"/>
        <v>929069.519</v>
      </c>
      <c r="P145" s="36">
        <f t="shared" si="550"/>
        <v>968968.21</v>
      </c>
      <c r="Q145" s="36">
        <f aca="true" t="shared" si="561" ref="Q145:Q153">$C$144*$L$144</f>
        <v>1014566.714</v>
      </c>
      <c r="R145" s="36">
        <f>$C$145*$L$145</f>
        <v>1060165.218</v>
      </c>
      <c r="S145" s="36"/>
      <c r="T145" s="36"/>
      <c r="U145" s="36"/>
      <c r="V145" s="36"/>
      <c r="W145" s="36"/>
      <c r="X145" s="36"/>
      <c r="Y145" s="47"/>
      <c r="Z145" s="36">
        <f t="shared" si="515"/>
        <v>2507917.72</v>
      </c>
      <c r="AA145" s="36">
        <f t="shared" si="528"/>
        <v>353388.406</v>
      </c>
      <c r="AB145" s="36">
        <f t="shared" si="539"/>
        <v>364788.032</v>
      </c>
      <c r="AC145" s="36">
        <f t="shared" si="551"/>
        <v>376187.658</v>
      </c>
      <c r="AD145" s="36">
        <f aca="true" t="shared" si="562" ref="AD145:AD153">$D$144*$L$144</f>
        <v>387587.284</v>
      </c>
      <c r="AE145" s="36">
        <f>$D$145*$L$145</f>
        <v>398986.91000000003</v>
      </c>
      <c r="AF145" s="36"/>
      <c r="AG145" s="36"/>
      <c r="AH145" s="36"/>
      <c r="AI145" s="36"/>
      <c r="AJ145" s="36"/>
      <c r="AK145" s="36"/>
      <c r="AL145" s="47"/>
      <c r="AM145" s="36">
        <f t="shared" si="516"/>
        <v>31810656.353</v>
      </c>
      <c r="AN145" s="36">
        <f t="shared" si="529"/>
        <v>4044017.3235</v>
      </c>
      <c r="AO145" s="36">
        <f t="shared" si="540"/>
        <v>4254910.4045</v>
      </c>
      <c r="AP145" s="36">
        <f t="shared" si="552"/>
        <v>4477203.1115</v>
      </c>
      <c r="AQ145" s="36">
        <f aca="true" t="shared" si="563" ref="AQ145:AQ153">$E$144*$L$144</f>
        <v>4708045.538</v>
      </c>
      <c r="AR145" s="36">
        <f>$E$145*$L$145</f>
        <v>4953137.497</v>
      </c>
      <c r="AS145" s="36"/>
      <c r="AT145" s="36"/>
      <c r="AU145" s="36"/>
      <c r="AV145" s="36"/>
      <c r="AW145" s="36"/>
      <c r="AX145" s="36"/>
      <c r="AY145" s="47"/>
      <c r="AZ145" s="36">
        <f t="shared" si="517"/>
        <v>10604502.0865</v>
      </c>
      <c r="BA145" s="36">
        <f t="shared" si="530"/>
        <v>1348005.7745</v>
      </c>
      <c r="BB145" s="36">
        <f t="shared" si="541"/>
        <v>1419253.437</v>
      </c>
      <c r="BC145" s="36">
        <f t="shared" si="553"/>
        <v>1493351.006</v>
      </c>
      <c r="BD145" s="36">
        <f aca="true" t="shared" si="564" ref="BD145:BD153">$F$144*$L$144</f>
        <v>1570298.4815</v>
      </c>
      <c r="BE145" s="36">
        <f>$F$145*$L$145</f>
        <v>1650095.8635</v>
      </c>
      <c r="BF145" s="36"/>
      <c r="BG145" s="36"/>
      <c r="BH145" s="36"/>
      <c r="BI145" s="36"/>
      <c r="BJ145" s="36"/>
      <c r="BK145" s="36"/>
      <c r="BL145" s="47"/>
      <c r="BM145" s="36"/>
      <c r="BN145" s="36"/>
      <c r="BO145" s="36"/>
      <c r="BP145" s="36"/>
      <c r="BQ145" s="36"/>
      <c r="BR145" s="36"/>
      <c r="BS145" s="36"/>
      <c r="BT145" s="36"/>
      <c r="BU145" s="36"/>
      <c r="BV145" s="36"/>
      <c r="BW145" s="36"/>
      <c r="BX145" s="36"/>
      <c r="BY145" s="47"/>
      <c r="BZ145" s="36"/>
      <c r="CA145" s="36"/>
      <c r="CB145" s="36"/>
      <c r="CC145" s="36"/>
      <c r="CD145" s="36"/>
      <c r="CE145" s="36"/>
      <c r="CF145" s="36"/>
      <c r="CG145" s="36"/>
      <c r="CH145" s="36"/>
      <c r="CI145" s="36"/>
      <c r="CJ145" s="36"/>
      <c r="CK145" s="36"/>
      <c r="CL145" s="47"/>
      <c r="CM145" s="36">
        <f t="shared" si="518"/>
        <v>2342623.143</v>
      </c>
      <c r="CN145" s="36">
        <f t="shared" si="531"/>
        <v>299240.1825</v>
      </c>
      <c r="CO145" s="36">
        <f t="shared" si="542"/>
        <v>313489.715</v>
      </c>
      <c r="CP145" s="36">
        <f t="shared" si="554"/>
        <v>330589.154</v>
      </c>
      <c r="CQ145" s="36">
        <f aca="true" t="shared" si="565" ref="CQ145:CQ153">$I$144*$L$144</f>
        <v>347688.593</v>
      </c>
      <c r="CR145" s="36">
        <f>$I$145*$L$145</f>
        <v>364788.032</v>
      </c>
      <c r="CS145" s="36"/>
      <c r="CT145" s="36"/>
      <c r="CU145" s="36"/>
      <c r="CV145" s="36"/>
      <c r="CW145" s="36"/>
      <c r="CX145" s="36"/>
      <c r="CY145" s="36"/>
      <c r="CZ145" s="36">
        <f t="shared" si="511"/>
        <v>91635893.60100003</v>
      </c>
      <c r="DA145" s="38">
        <f>CZ145*(1+$E$10)^-11</f>
        <v>53577609.12543312</v>
      </c>
      <c r="DB145" s="78">
        <f t="shared" si="543"/>
        <v>6133</v>
      </c>
      <c r="DC145" s="36">
        <f t="shared" si="519"/>
        <v>13032625</v>
      </c>
      <c r="DD145" s="36">
        <f t="shared" si="532"/>
        <v>1907363</v>
      </c>
      <c r="DE145" s="36">
        <f t="shared" si="544"/>
        <v>1999358</v>
      </c>
      <c r="DF145" s="36">
        <f t="shared" si="555"/>
        <v>2085220</v>
      </c>
      <c r="DG145" s="36">
        <f aca="true" t="shared" si="566" ref="DG145:DG153">$C$144*$DB$144</f>
        <v>2183348</v>
      </c>
      <c r="DH145" s="36">
        <f>$C$145*$DB$145</f>
        <v>2281476</v>
      </c>
      <c r="DI145" s="36"/>
      <c r="DJ145" s="36"/>
      <c r="DK145" s="36"/>
      <c r="DL145" s="36"/>
      <c r="DM145" s="36"/>
      <c r="DN145" s="36"/>
      <c r="DO145" s="47"/>
      <c r="DP145" s="36">
        <f t="shared" si="520"/>
        <v>5397040</v>
      </c>
      <c r="DQ145" s="36">
        <f t="shared" si="533"/>
        <v>760492</v>
      </c>
      <c r="DR145" s="36">
        <f t="shared" si="545"/>
        <v>785024</v>
      </c>
      <c r="DS145" s="36">
        <f t="shared" si="556"/>
        <v>809556</v>
      </c>
      <c r="DT145" s="36">
        <f aca="true" t="shared" si="567" ref="DT145:DT153">$D$144*$DB$144</f>
        <v>834088</v>
      </c>
      <c r="DU145" s="36">
        <f>$D$145*$DB$145</f>
        <v>858620</v>
      </c>
      <c r="DV145" s="36"/>
      <c r="DW145" s="36"/>
      <c r="DX145" s="36"/>
      <c r="DY145" s="36"/>
      <c r="DZ145" s="36"/>
      <c r="EA145" s="36"/>
      <c r="EB145" s="47"/>
      <c r="EC145" s="36">
        <f t="shared" si="521"/>
        <v>68456546</v>
      </c>
      <c r="ED145" s="36">
        <f t="shared" si="534"/>
        <v>8702727</v>
      </c>
      <c r="EE145" s="36">
        <f t="shared" si="546"/>
        <v>9156569</v>
      </c>
      <c r="EF145" s="36">
        <f t="shared" si="557"/>
        <v>9634943</v>
      </c>
      <c r="EG145" s="36">
        <f aca="true" t="shared" si="568" ref="EG145:EG153">$E$144*$DB$144</f>
        <v>10131716</v>
      </c>
      <c r="EH145" s="36">
        <f>$E$145*$DB$145</f>
        <v>10659154</v>
      </c>
      <c r="EI145" s="36"/>
      <c r="EJ145" s="36"/>
      <c r="EK145" s="36"/>
      <c r="EL145" s="36"/>
      <c r="EM145" s="36"/>
      <c r="EN145" s="36"/>
      <c r="EO145" s="47"/>
      <c r="EP145" s="36">
        <f t="shared" si="522"/>
        <v>22820893</v>
      </c>
      <c r="EQ145" s="36">
        <f t="shared" si="535"/>
        <v>2900909</v>
      </c>
      <c r="ER145" s="36">
        <f t="shared" si="547"/>
        <v>3054234</v>
      </c>
      <c r="ES145" s="36">
        <f t="shared" si="558"/>
        <v>3213692</v>
      </c>
      <c r="ET145" s="36">
        <f aca="true" t="shared" si="569" ref="ET145:ET153">$F$144*$DB$144</f>
        <v>3379283</v>
      </c>
      <c r="EU145" s="36">
        <f>$F$145*$DB$145</f>
        <v>3551007</v>
      </c>
      <c r="EV145" s="36"/>
      <c r="EW145" s="36"/>
      <c r="EX145" s="36"/>
      <c r="EY145" s="36"/>
      <c r="EZ145" s="36"/>
      <c r="FA145" s="36"/>
      <c r="FB145" s="47"/>
      <c r="FC145" s="36"/>
      <c r="FD145" s="36"/>
      <c r="FE145" s="36"/>
      <c r="FF145" s="36"/>
      <c r="FG145" s="36"/>
      <c r="FH145" s="36"/>
      <c r="FI145" s="36"/>
      <c r="FJ145" s="36"/>
      <c r="FK145" s="36"/>
      <c r="FL145" s="36"/>
      <c r="FM145" s="36"/>
      <c r="FN145" s="36"/>
      <c r="FO145" s="47"/>
      <c r="FP145" s="36"/>
      <c r="FQ145" s="36"/>
      <c r="FR145" s="36"/>
      <c r="FS145" s="36"/>
      <c r="FT145" s="36"/>
      <c r="FU145" s="36"/>
      <c r="FV145" s="36"/>
      <c r="FW145" s="36"/>
      <c r="FX145" s="36"/>
      <c r="FY145" s="36"/>
      <c r="FZ145" s="36"/>
      <c r="GA145" s="36"/>
      <c r="GB145" s="47"/>
      <c r="GC145" s="36">
        <f t="shared" si="523"/>
        <v>5041326</v>
      </c>
      <c r="GD145" s="36">
        <f t="shared" si="536"/>
        <v>643965</v>
      </c>
      <c r="GE145" s="36">
        <f t="shared" si="548"/>
        <v>674630</v>
      </c>
      <c r="GF145" s="36">
        <f t="shared" si="559"/>
        <v>711428</v>
      </c>
      <c r="GG145" s="36">
        <f aca="true" t="shared" si="570" ref="GG145:GG153">$I$144*$DB$144</f>
        <v>748226</v>
      </c>
      <c r="GH145" s="36">
        <f>$I$145*$DB$145</f>
        <v>785024</v>
      </c>
      <c r="GI145" s="36"/>
      <c r="GJ145" s="36"/>
      <c r="GK145" s="36"/>
      <c r="GL145" s="36"/>
      <c r="GM145" s="36"/>
      <c r="GN145" s="36"/>
      <c r="GO145" s="47"/>
      <c r="GP145" s="36">
        <f>SUM(DC145:GO145)</f>
        <v>197200482</v>
      </c>
      <c r="GQ145" s="38">
        <f>GP145*(1+$E$11)^-11</f>
        <v>115299037.6232628</v>
      </c>
      <c r="GR145" s="38">
        <f t="shared" si="524"/>
        <v>288836375.601</v>
      </c>
      <c r="GS145" s="52">
        <f t="shared" si="512"/>
        <v>168876646.7486959</v>
      </c>
      <c r="GT145" s="9"/>
    </row>
    <row r="146" spans="1:202" ht="15.75">
      <c r="A146" s="9">
        <v>2007</v>
      </c>
      <c r="B146" s="49">
        <v>2014</v>
      </c>
      <c r="C146" s="31">
        <f aca="true" t="shared" si="571" ref="C146:K146">C31</f>
        <v>389</v>
      </c>
      <c r="D146" s="31">
        <f t="shared" si="571"/>
        <v>144</v>
      </c>
      <c r="E146" s="31">
        <f t="shared" si="571"/>
        <v>1829</v>
      </c>
      <c r="F146" s="31">
        <f t="shared" si="571"/>
        <v>610</v>
      </c>
      <c r="G146" s="31">
        <f t="shared" si="571"/>
        <v>254</v>
      </c>
      <c r="H146" s="31">
        <f t="shared" si="571"/>
        <v>85</v>
      </c>
      <c r="I146" s="31">
        <f t="shared" si="571"/>
        <v>135</v>
      </c>
      <c r="J146" s="84">
        <f t="shared" si="571"/>
        <v>2913</v>
      </c>
      <c r="K146" s="86">
        <f t="shared" si="571"/>
        <v>3446</v>
      </c>
      <c r="L146" s="36">
        <f t="shared" si="526"/>
        <v>2849.9065</v>
      </c>
      <c r="M146" s="36">
        <f t="shared" si="514"/>
        <v>6056051.3125</v>
      </c>
      <c r="N146" s="36">
        <f t="shared" si="527"/>
        <v>886320.9215</v>
      </c>
      <c r="O146" s="36">
        <f t="shared" si="538"/>
        <v>929069.519</v>
      </c>
      <c r="P146" s="36">
        <f t="shared" si="550"/>
        <v>968968.21</v>
      </c>
      <c r="Q146" s="36">
        <f t="shared" si="561"/>
        <v>1014566.714</v>
      </c>
      <c r="R146" s="36">
        <f aca="true" t="shared" si="572" ref="R146:R154">$C$145*$L$145</f>
        <v>1060165.218</v>
      </c>
      <c r="S146" s="36">
        <f>$C$146*$L$146</f>
        <v>1108613.6285</v>
      </c>
      <c r="T146" s="36"/>
      <c r="U146" s="36"/>
      <c r="V146" s="36"/>
      <c r="W146" s="36"/>
      <c r="X146" s="36"/>
      <c r="Y146" s="47"/>
      <c r="Z146" s="36">
        <f t="shared" si="515"/>
        <v>2507917.72</v>
      </c>
      <c r="AA146" s="36">
        <f t="shared" si="528"/>
        <v>353388.406</v>
      </c>
      <c r="AB146" s="36">
        <f t="shared" si="539"/>
        <v>364788.032</v>
      </c>
      <c r="AC146" s="36">
        <f t="shared" si="551"/>
        <v>376187.658</v>
      </c>
      <c r="AD146" s="36">
        <f t="shared" si="562"/>
        <v>387587.284</v>
      </c>
      <c r="AE146" s="36">
        <f aca="true" t="shared" si="573" ref="AE146:AE154">$D$145*$L$145</f>
        <v>398986.91000000003</v>
      </c>
      <c r="AF146" s="36">
        <f>$D$146*$L$146</f>
        <v>410386.536</v>
      </c>
      <c r="AG146" s="36"/>
      <c r="AH146" s="36"/>
      <c r="AI146" s="36"/>
      <c r="AJ146" s="36"/>
      <c r="AK146" s="36"/>
      <c r="AL146" s="47"/>
      <c r="AM146" s="36">
        <f t="shared" si="516"/>
        <v>31810656.353</v>
      </c>
      <c r="AN146" s="36">
        <f t="shared" si="529"/>
        <v>4044017.3235</v>
      </c>
      <c r="AO146" s="36">
        <f t="shared" si="540"/>
        <v>4254910.4045</v>
      </c>
      <c r="AP146" s="36">
        <f t="shared" si="552"/>
        <v>4477203.1115</v>
      </c>
      <c r="AQ146" s="36">
        <f t="shared" si="563"/>
        <v>4708045.538</v>
      </c>
      <c r="AR146" s="36">
        <f aca="true" t="shared" si="574" ref="AR146:AR154">$E$145*$L$145</f>
        <v>4953137.497</v>
      </c>
      <c r="AS146" s="36">
        <f>$E$146*$L$146</f>
        <v>5212478.9885</v>
      </c>
      <c r="AT146" s="36"/>
      <c r="AU146" s="36"/>
      <c r="AV146" s="36"/>
      <c r="AW146" s="36"/>
      <c r="AX146" s="36"/>
      <c r="AY146" s="47"/>
      <c r="AZ146" s="36">
        <f t="shared" si="517"/>
        <v>10604502.0865</v>
      </c>
      <c r="BA146" s="36">
        <f t="shared" si="530"/>
        <v>1348005.7745</v>
      </c>
      <c r="BB146" s="36">
        <f t="shared" si="541"/>
        <v>1419253.437</v>
      </c>
      <c r="BC146" s="36">
        <f t="shared" si="553"/>
        <v>1493351.006</v>
      </c>
      <c r="BD146" s="36">
        <f t="shared" si="564"/>
        <v>1570298.4815</v>
      </c>
      <c r="BE146" s="36">
        <f aca="true" t="shared" si="575" ref="BE146:BE154">$F$145*$L$145</f>
        <v>1650095.8635</v>
      </c>
      <c r="BF146" s="36">
        <f>$F$146*$L$146</f>
        <v>1738442.965</v>
      </c>
      <c r="BG146" s="36"/>
      <c r="BH146" s="36"/>
      <c r="BI146" s="36"/>
      <c r="BJ146" s="36"/>
      <c r="BK146" s="36"/>
      <c r="BL146" s="47"/>
      <c r="BM146" s="36"/>
      <c r="BN146" s="36"/>
      <c r="BO146" s="36"/>
      <c r="BP146" s="36"/>
      <c r="BQ146" s="36"/>
      <c r="BR146" s="36"/>
      <c r="BS146" s="36"/>
      <c r="BT146" s="36"/>
      <c r="BU146" s="36"/>
      <c r="BV146" s="36"/>
      <c r="BW146" s="36"/>
      <c r="BX146" s="36"/>
      <c r="BY146" s="47"/>
      <c r="BZ146" s="36"/>
      <c r="CA146" s="36"/>
      <c r="CB146" s="36"/>
      <c r="CC146" s="36"/>
      <c r="CD146" s="36"/>
      <c r="CE146" s="36"/>
      <c r="CF146" s="36"/>
      <c r="CG146" s="36"/>
      <c r="CH146" s="36"/>
      <c r="CI146" s="36"/>
      <c r="CJ146" s="36"/>
      <c r="CK146" s="36"/>
      <c r="CL146" s="47"/>
      <c r="CM146" s="36">
        <f t="shared" si="518"/>
        <v>2342623.143</v>
      </c>
      <c r="CN146" s="36">
        <f t="shared" si="531"/>
        <v>299240.1825</v>
      </c>
      <c r="CO146" s="36">
        <f t="shared" si="542"/>
        <v>313489.715</v>
      </c>
      <c r="CP146" s="36">
        <f t="shared" si="554"/>
        <v>330589.154</v>
      </c>
      <c r="CQ146" s="36">
        <f t="shared" si="565"/>
        <v>347688.593</v>
      </c>
      <c r="CR146" s="36">
        <f aca="true" t="shared" si="576" ref="CR146:CR154">$I$145*$L$145</f>
        <v>364788.032</v>
      </c>
      <c r="CS146" s="36">
        <f>$I$146*$L$146</f>
        <v>384737.3775</v>
      </c>
      <c r="CT146" s="36"/>
      <c r="CU146" s="36"/>
      <c r="CV146" s="36"/>
      <c r="CW146" s="36"/>
      <c r="CX146" s="36"/>
      <c r="CY146" s="36"/>
      <c r="CZ146" s="36">
        <f t="shared" si="511"/>
        <v>100490553.09650002</v>
      </c>
      <c r="DA146" s="38">
        <f>CZ146*(1+$E$10)^-12</f>
        <v>55956900.13749003</v>
      </c>
      <c r="DB146" s="78">
        <f t="shared" si="543"/>
        <v>6133</v>
      </c>
      <c r="DC146" s="36">
        <f t="shared" si="519"/>
        <v>13032625</v>
      </c>
      <c r="DD146" s="36">
        <f t="shared" si="532"/>
        <v>1907363</v>
      </c>
      <c r="DE146" s="36">
        <f t="shared" si="544"/>
        <v>1999358</v>
      </c>
      <c r="DF146" s="36">
        <f t="shared" si="555"/>
        <v>2085220</v>
      </c>
      <c r="DG146" s="36">
        <f t="shared" si="566"/>
        <v>2183348</v>
      </c>
      <c r="DH146" s="36">
        <f aca="true" t="shared" si="577" ref="DH146:DH154">$C$145*$DB$145</f>
        <v>2281476</v>
      </c>
      <c r="DI146" s="36">
        <f>$C$146*$DB$146</f>
        <v>2385737</v>
      </c>
      <c r="DJ146" s="36"/>
      <c r="DK146" s="36"/>
      <c r="DL146" s="36"/>
      <c r="DM146" s="36"/>
      <c r="DN146" s="36"/>
      <c r="DO146" s="47"/>
      <c r="DP146" s="36">
        <f t="shared" si="520"/>
        <v>5397040</v>
      </c>
      <c r="DQ146" s="36">
        <f t="shared" si="533"/>
        <v>760492</v>
      </c>
      <c r="DR146" s="36">
        <f t="shared" si="545"/>
        <v>785024</v>
      </c>
      <c r="DS146" s="36">
        <f t="shared" si="556"/>
        <v>809556</v>
      </c>
      <c r="DT146" s="36">
        <f t="shared" si="567"/>
        <v>834088</v>
      </c>
      <c r="DU146" s="36">
        <f aca="true" t="shared" si="578" ref="DU146:DU154">$D$145*$DB$145</f>
        <v>858620</v>
      </c>
      <c r="DV146" s="36">
        <f>$D$146*$DB$146</f>
        <v>883152</v>
      </c>
      <c r="DW146" s="36"/>
      <c r="DX146" s="36"/>
      <c r="DY146" s="36"/>
      <c r="DZ146" s="36"/>
      <c r="EA146" s="36"/>
      <c r="EB146" s="47"/>
      <c r="EC146" s="36">
        <f t="shared" si="521"/>
        <v>68456546</v>
      </c>
      <c r="ED146" s="36">
        <f t="shared" si="534"/>
        <v>8702727</v>
      </c>
      <c r="EE146" s="36">
        <f t="shared" si="546"/>
        <v>9156569</v>
      </c>
      <c r="EF146" s="36">
        <f t="shared" si="557"/>
        <v>9634943</v>
      </c>
      <c r="EG146" s="36">
        <f t="shared" si="568"/>
        <v>10131716</v>
      </c>
      <c r="EH146" s="36">
        <f aca="true" t="shared" si="579" ref="EH146:EH154">$E$145*$DB$145</f>
        <v>10659154</v>
      </c>
      <c r="EI146" s="36">
        <f>$E$146*$DB$146</f>
        <v>11217257</v>
      </c>
      <c r="EJ146" s="36"/>
      <c r="EK146" s="36"/>
      <c r="EL146" s="36"/>
      <c r="EM146" s="36"/>
      <c r="EN146" s="36"/>
      <c r="EO146" s="47"/>
      <c r="EP146" s="36">
        <f t="shared" si="522"/>
        <v>22820893</v>
      </c>
      <c r="EQ146" s="36">
        <f t="shared" si="535"/>
        <v>2900909</v>
      </c>
      <c r="ER146" s="36">
        <f t="shared" si="547"/>
        <v>3054234</v>
      </c>
      <c r="ES146" s="36">
        <f t="shared" si="558"/>
        <v>3213692</v>
      </c>
      <c r="ET146" s="36">
        <f t="shared" si="569"/>
        <v>3379283</v>
      </c>
      <c r="EU146" s="36">
        <f aca="true" t="shared" si="580" ref="EU146:EU154">$F$145*$DB$145</f>
        <v>3551007</v>
      </c>
      <c r="EV146" s="36">
        <f>$F$146*$DB$146</f>
        <v>3741130</v>
      </c>
      <c r="EW146" s="36"/>
      <c r="EX146" s="36"/>
      <c r="EY146" s="36"/>
      <c r="EZ146" s="36"/>
      <c r="FA146" s="36"/>
      <c r="FB146" s="47"/>
      <c r="FC146" s="36"/>
      <c r="FD146" s="36"/>
      <c r="FE146" s="36"/>
      <c r="FF146" s="36"/>
      <c r="FG146" s="36"/>
      <c r="FH146" s="36"/>
      <c r="FI146" s="36"/>
      <c r="FJ146" s="36"/>
      <c r="FK146" s="36"/>
      <c r="FL146" s="36"/>
      <c r="FM146" s="36"/>
      <c r="FN146" s="36"/>
      <c r="FO146" s="47"/>
      <c r="FP146" s="36"/>
      <c r="FQ146" s="36"/>
      <c r="FR146" s="36"/>
      <c r="FS146" s="36"/>
      <c r="FT146" s="36"/>
      <c r="FU146" s="36"/>
      <c r="FV146" s="36"/>
      <c r="FW146" s="36"/>
      <c r="FX146" s="36"/>
      <c r="FY146" s="36"/>
      <c r="FZ146" s="36"/>
      <c r="GA146" s="36"/>
      <c r="GB146" s="47"/>
      <c r="GC146" s="36">
        <f t="shared" si="523"/>
        <v>5041326</v>
      </c>
      <c r="GD146" s="36">
        <f t="shared" si="536"/>
        <v>643965</v>
      </c>
      <c r="GE146" s="36">
        <f t="shared" si="548"/>
        <v>674630</v>
      </c>
      <c r="GF146" s="36">
        <f t="shared" si="559"/>
        <v>711428</v>
      </c>
      <c r="GG146" s="36">
        <f t="shared" si="570"/>
        <v>748226</v>
      </c>
      <c r="GH146" s="36">
        <f aca="true" t="shared" si="581" ref="GH146:GH154">$I$145*$DB$145</f>
        <v>785024</v>
      </c>
      <c r="GI146" s="36">
        <f>$I$146*$DB$146</f>
        <v>827955</v>
      </c>
      <c r="GJ146" s="36"/>
      <c r="GK146" s="36"/>
      <c r="GL146" s="36"/>
      <c r="GM146" s="36"/>
      <c r="GN146" s="36"/>
      <c r="GO146" s="47"/>
      <c r="GP146" s="36">
        <f>SUM(DC146:GO146)</f>
        <v>216255713</v>
      </c>
      <c r="GQ146" s="38">
        <f>GP146*(1+$E$11)^-12</f>
        <v>120419272.89306729</v>
      </c>
      <c r="GR146" s="38">
        <f t="shared" si="524"/>
        <v>316746266.09650004</v>
      </c>
      <c r="GS146" s="52">
        <f t="shared" si="512"/>
        <v>176376173.0305573</v>
      </c>
      <c r="GT146" s="9"/>
    </row>
    <row r="147" spans="1:202" ht="15.75">
      <c r="A147" s="9">
        <v>2008</v>
      </c>
      <c r="B147" s="49">
        <v>2015</v>
      </c>
      <c r="C147" s="31">
        <f aca="true" t="shared" si="582" ref="C147:K147">C32</f>
        <v>407</v>
      </c>
      <c r="D147" s="31">
        <f t="shared" si="582"/>
        <v>148</v>
      </c>
      <c r="E147" s="31">
        <f t="shared" si="582"/>
        <v>1924</v>
      </c>
      <c r="F147" s="31">
        <f t="shared" si="582"/>
        <v>641</v>
      </c>
      <c r="G147" s="31">
        <f t="shared" si="582"/>
        <v>279</v>
      </c>
      <c r="H147" s="31">
        <f t="shared" si="582"/>
        <v>93</v>
      </c>
      <c r="I147" s="31">
        <f t="shared" si="582"/>
        <v>142</v>
      </c>
      <c r="J147" s="84">
        <f t="shared" si="582"/>
        <v>3079</v>
      </c>
      <c r="K147" s="86">
        <f t="shared" si="582"/>
        <v>3634</v>
      </c>
      <c r="L147" s="36">
        <f t="shared" si="526"/>
        <v>2849.9065</v>
      </c>
      <c r="M147" s="36">
        <f t="shared" si="514"/>
        <v>6056051.3125</v>
      </c>
      <c r="N147" s="36">
        <f t="shared" si="527"/>
        <v>886320.9215</v>
      </c>
      <c r="O147" s="36">
        <f t="shared" si="538"/>
        <v>929069.519</v>
      </c>
      <c r="P147" s="36">
        <f t="shared" si="550"/>
        <v>968968.21</v>
      </c>
      <c r="Q147" s="36">
        <f t="shared" si="561"/>
        <v>1014566.714</v>
      </c>
      <c r="R147" s="36">
        <f t="shared" si="572"/>
        <v>1060165.218</v>
      </c>
      <c r="S147" s="36">
        <f aca="true" t="shared" si="583" ref="S147:S155">$C$146*$L$146</f>
        <v>1108613.6285</v>
      </c>
      <c r="T147" s="36">
        <f>$C$147*$L$147</f>
        <v>1159911.9455</v>
      </c>
      <c r="U147" s="36"/>
      <c r="V147" s="36"/>
      <c r="W147" s="36"/>
      <c r="X147" s="36"/>
      <c r="Y147" s="47"/>
      <c r="Z147" s="36">
        <f t="shared" si="515"/>
        <v>2507917.72</v>
      </c>
      <c r="AA147" s="36">
        <f t="shared" si="528"/>
        <v>353388.406</v>
      </c>
      <c r="AB147" s="36">
        <f t="shared" si="539"/>
        <v>364788.032</v>
      </c>
      <c r="AC147" s="36">
        <f t="shared" si="551"/>
        <v>376187.658</v>
      </c>
      <c r="AD147" s="36">
        <f t="shared" si="562"/>
        <v>387587.284</v>
      </c>
      <c r="AE147" s="36">
        <f t="shared" si="573"/>
        <v>398986.91000000003</v>
      </c>
      <c r="AF147" s="36">
        <f aca="true" t="shared" si="584" ref="AF147:AF155">$D$146*$L$146</f>
        <v>410386.536</v>
      </c>
      <c r="AG147" s="36">
        <f>$D$147*$L$147</f>
        <v>421786.162</v>
      </c>
      <c r="AH147" s="36"/>
      <c r="AI147" s="36"/>
      <c r="AJ147" s="36"/>
      <c r="AK147" s="36"/>
      <c r="AL147" s="47"/>
      <c r="AM147" s="36">
        <f t="shared" si="516"/>
        <v>31810656.353</v>
      </c>
      <c r="AN147" s="36">
        <f t="shared" si="529"/>
        <v>4044017.3235</v>
      </c>
      <c r="AO147" s="36">
        <f t="shared" si="540"/>
        <v>4254910.4045</v>
      </c>
      <c r="AP147" s="36">
        <f t="shared" si="552"/>
        <v>4477203.1115</v>
      </c>
      <c r="AQ147" s="36">
        <f t="shared" si="563"/>
        <v>4708045.538</v>
      </c>
      <c r="AR147" s="36">
        <f t="shared" si="574"/>
        <v>4953137.497</v>
      </c>
      <c r="AS147" s="36">
        <f aca="true" t="shared" si="585" ref="AS147:AS155">$E$146*$L$146</f>
        <v>5212478.9885</v>
      </c>
      <c r="AT147" s="36">
        <f>$E$147*$L$147</f>
        <v>5483220.106</v>
      </c>
      <c r="AU147" s="36"/>
      <c r="AV147" s="36"/>
      <c r="AW147" s="36"/>
      <c r="AX147" s="36"/>
      <c r="AY147" s="47"/>
      <c r="AZ147" s="36">
        <f t="shared" si="517"/>
        <v>10604502.0865</v>
      </c>
      <c r="BA147" s="36">
        <f t="shared" si="530"/>
        <v>1348005.7745</v>
      </c>
      <c r="BB147" s="36">
        <f t="shared" si="541"/>
        <v>1419253.437</v>
      </c>
      <c r="BC147" s="36">
        <f t="shared" si="553"/>
        <v>1493351.006</v>
      </c>
      <c r="BD147" s="36">
        <f t="shared" si="564"/>
        <v>1570298.4815</v>
      </c>
      <c r="BE147" s="36">
        <f t="shared" si="575"/>
        <v>1650095.8635</v>
      </c>
      <c r="BF147" s="36">
        <f aca="true" t="shared" si="586" ref="BF147:BF155">$F$146*$L$146</f>
        <v>1738442.965</v>
      </c>
      <c r="BG147" s="36">
        <f>$F$147*$L$147</f>
        <v>1826790.0665</v>
      </c>
      <c r="BH147" s="36"/>
      <c r="BI147" s="36"/>
      <c r="BJ147" s="36"/>
      <c r="BK147" s="36"/>
      <c r="BL147" s="47"/>
      <c r="BM147" s="36"/>
      <c r="BN147" s="36"/>
      <c r="BO147" s="36"/>
      <c r="BP147" s="36"/>
      <c r="BQ147" s="36"/>
      <c r="BR147" s="36"/>
      <c r="BS147" s="36"/>
      <c r="BT147" s="36"/>
      <c r="BU147" s="36"/>
      <c r="BV147" s="36"/>
      <c r="BW147" s="36"/>
      <c r="BX147" s="36"/>
      <c r="BY147" s="47"/>
      <c r="BZ147" s="36"/>
      <c r="CA147" s="36"/>
      <c r="CB147" s="36"/>
      <c r="CC147" s="36"/>
      <c r="CD147" s="36"/>
      <c r="CE147" s="36"/>
      <c r="CF147" s="36"/>
      <c r="CG147" s="36"/>
      <c r="CH147" s="36"/>
      <c r="CI147" s="36"/>
      <c r="CJ147" s="36"/>
      <c r="CK147" s="36"/>
      <c r="CL147" s="47"/>
      <c r="CM147" s="36">
        <f t="shared" si="518"/>
        <v>2342623.143</v>
      </c>
      <c r="CN147" s="36">
        <f t="shared" si="531"/>
        <v>299240.1825</v>
      </c>
      <c r="CO147" s="36">
        <f t="shared" si="542"/>
        <v>313489.715</v>
      </c>
      <c r="CP147" s="36">
        <f t="shared" si="554"/>
        <v>330589.154</v>
      </c>
      <c r="CQ147" s="36">
        <f t="shared" si="565"/>
        <v>347688.593</v>
      </c>
      <c r="CR147" s="36">
        <f t="shared" si="576"/>
        <v>364788.032</v>
      </c>
      <c r="CS147" s="36">
        <f aca="true" t="shared" si="587" ref="CS147:CS155">$I$146*$L$146</f>
        <v>384737.3775</v>
      </c>
      <c r="CT147" s="36">
        <f>$I$147*$L$147</f>
        <v>404686.723</v>
      </c>
      <c r="CU147" s="36"/>
      <c r="CV147" s="36"/>
      <c r="CW147" s="36"/>
      <c r="CX147" s="36"/>
      <c r="CY147" s="36"/>
      <c r="CZ147" s="36">
        <f t="shared" si="511"/>
        <v>109786948.09950002</v>
      </c>
      <c r="DA147" s="38">
        <f>CZ147*(1+$E$10)^-13</f>
        <v>58222362.59935171</v>
      </c>
      <c r="DB147" s="78">
        <f t="shared" si="543"/>
        <v>6133</v>
      </c>
      <c r="DC147" s="36">
        <f t="shared" si="519"/>
        <v>13032625</v>
      </c>
      <c r="DD147" s="36">
        <f t="shared" si="532"/>
        <v>1907363</v>
      </c>
      <c r="DE147" s="36">
        <f t="shared" si="544"/>
        <v>1999358</v>
      </c>
      <c r="DF147" s="36">
        <f t="shared" si="555"/>
        <v>2085220</v>
      </c>
      <c r="DG147" s="36">
        <f t="shared" si="566"/>
        <v>2183348</v>
      </c>
      <c r="DH147" s="36">
        <f t="shared" si="577"/>
        <v>2281476</v>
      </c>
      <c r="DI147" s="36">
        <f>$C$146*$DB$146</f>
        <v>2385737</v>
      </c>
      <c r="DJ147" s="36">
        <f>$C$147*$DB$147</f>
        <v>2496131</v>
      </c>
      <c r="DK147" s="36"/>
      <c r="DL147" s="36"/>
      <c r="DM147" s="36"/>
      <c r="DN147" s="36"/>
      <c r="DO147" s="47"/>
      <c r="DP147" s="36">
        <f t="shared" si="520"/>
        <v>5397040</v>
      </c>
      <c r="DQ147" s="36">
        <f t="shared" si="533"/>
        <v>760492</v>
      </c>
      <c r="DR147" s="36">
        <f t="shared" si="545"/>
        <v>785024</v>
      </c>
      <c r="DS147" s="36">
        <f t="shared" si="556"/>
        <v>809556</v>
      </c>
      <c r="DT147" s="36">
        <f t="shared" si="567"/>
        <v>834088</v>
      </c>
      <c r="DU147" s="36">
        <f t="shared" si="578"/>
        <v>858620</v>
      </c>
      <c r="DV147" s="36">
        <f aca="true" t="shared" si="588" ref="DV147:DV155">$D$146*$DB$146</f>
        <v>883152</v>
      </c>
      <c r="DW147" s="36">
        <f>$D$147*$DB$147</f>
        <v>907684</v>
      </c>
      <c r="DX147" s="36"/>
      <c r="DY147" s="36"/>
      <c r="DZ147" s="36"/>
      <c r="EA147" s="36"/>
      <c r="EB147" s="47"/>
      <c r="EC147" s="36">
        <f t="shared" si="521"/>
        <v>68456546</v>
      </c>
      <c r="ED147" s="36">
        <f t="shared" si="534"/>
        <v>8702727</v>
      </c>
      <c r="EE147" s="36">
        <f t="shared" si="546"/>
        <v>9156569</v>
      </c>
      <c r="EF147" s="36">
        <f t="shared" si="557"/>
        <v>9634943</v>
      </c>
      <c r="EG147" s="36">
        <f t="shared" si="568"/>
        <v>10131716</v>
      </c>
      <c r="EH147" s="36">
        <f t="shared" si="579"/>
        <v>10659154</v>
      </c>
      <c r="EI147" s="36">
        <f>$E$146*$DB$146</f>
        <v>11217257</v>
      </c>
      <c r="EJ147" s="36">
        <f>$E$147*$DB$147</f>
        <v>11799892</v>
      </c>
      <c r="EK147" s="36"/>
      <c r="EL147" s="36"/>
      <c r="EM147" s="36"/>
      <c r="EN147" s="36"/>
      <c r="EO147" s="47"/>
      <c r="EP147" s="36">
        <f t="shared" si="522"/>
        <v>22820893</v>
      </c>
      <c r="EQ147" s="36">
        <f t="shared" si="535"/>
        <v>2900909</v>
      </c>
      <c r="ER147" s="36">
        <f t="shared" si="547"/>
        <v>3054234</v>
      </c>
      <c r="ES147" s="36">
        <f t="shared" si="558"/>
        <v>3213692</v>
      </c>
      <c r="ET147" s="36">
        <f t="shared" si="569"/>
        <v>3379283</v>
      </c>
      <c r="EU147" s="36">
        <f t="shared" si="580"/>
        <v>3551007</v>
      </c>
      <c r="EV147" s="36">
        <f aca="true" t="shared" si="589" ref="EV147:EV155">$F$146*$DB$146</f>
        <v>3741130</v>
      </c>
      <c r="EW147" s="36">
        <f>$F$147*$DB$147</f>
        <v>3931253</v>
      </c>
      <c r="EX147" s="36"/>
      <c r="EY147" s="36"/>
      <c r="EZ147" s="36"/>
      <c r="FA147" s="36"/>
      <c r="FB147" s="47"/>
      <c r="FC147" s="36"/>
      <c r="FD147" s="36"/>
      <c r="FE147" s="36"/>
      <c r="FF147" s="36"/>
      <c r="FG147" s="36"/>
      <c r="FH147" s="36"/>
      <c r="FI147" s="36"/>
      <c r="FJ147" s="36"/>
      <c r="FK147" s="36"/>
      <c r="FL147" s="36"/>
      <c r="FM147" s="36"/>
      <c r="FN147" s="36"/>
      <c r="FO147" s="47"/>
      <c r="FP147" s="36"/>
      <c r="FQ147" s="36"/>
      <c r="FR147" s="36"/>
      <c r="FS147" s="36"/>
      <c r="FT147" s="36"/>
      <c r="FU147" s="36"/>
      <c r="FV147" s="36"/>
      <c r="FW147" s="36"/>
      <c r="FX147" s="36"/>
      <c r="FY147" s="36"/>
      <c r="FZ147" s="36"/>
      <c r="GA147" s="36"/>
      <c r="GB147" s="47"/>
      <c r="GC147" s="36">
        <f t="shared" si="523"/>
        <v>5041326</v>
      </c>
      <c r="GD147" s="36">
        <f t="shared" si="536"/>
        <v>643965</v>
      </c>
      <c r="GE147" s="36">
        <f t="shared" si="548"/>
        <v>674630</v>
      </c>
      <c r="GF147" s="36">
        <f t="shared" si="559"/>
        <v>711428</v>
      </c>
      <c r="GG147" s="36">
        <f t="shared" si="570"/>
        <v>748226</v>
      </c>
      <c r="GH147" s="36">
        <f t="shared" si="581"/>
        <v>785024</v>
      </c>
      <c r="GI147" s="36">
        <f aca="true" t="shared" si="590" ref="GI147:GI155">$I$146*$DB$146</f>
        <v>827955</v>
      </c>
      <c r="GJ147" s="36">
        <f>$I$147*$DB$147</f>
        <v>870886</v>
      </c>
      <c r="GK147" s="36"/>
      <c r="GL147" s="36"/>
      <c r="GM147" s="36"/>
      <c r="GN147" s="36"/>
      <c r="GO147" s="47"/>
      <c r="GP147" s="36">
        <f>SUM(DC147:GO147)</f>
        <v>236261559</v>
      </c>
      <c r="GQ147" s="38">
        <f>GP147*(1+$E$11)^-13</f>
        <v>125294549.07444297</v>
      </c>
      <c r="GR147" s="38">
        <f t="shared" si="524"/>
        <v>346048507.0995</v>
      </c>
      <c r="GS147" s="52">
        <f t="shared" si="512"/>
        <v>183516911.6737947</v>
      </c>
      <c r="GT147" s="9"/>
    </row>
    <row r="148" spans="1:202" ht="15.75">
      <c r="A148" s="9">
        <v>2009</v>
      </c>
      <c r="B148" s="49">
        <v>2016</v>
      </c>
      <c r="C148" s="31">
        <f aca="true" t="shared" si="591" ref="C148:K148">C33</f>
        <v>426</v>
      </c>
      <c r="D148" s="31">
        <f t="shared" si="591"/>
        <v>153</v>
      </c>
      <c r="E148" s="31">
        <f t="shared" si="591"/>
        <v>2024</v>
      </c>
      <c r="F148" s="31">
        <f t="shared" si="591"/>
        <v>675</v>
      </c>
      <c r="G148" s="31">
        <f t="shared" si="591"/>
        <v>308</v>
      </c>
      <c r="H148" s="31">
        <f t="shared" si="591"/>
        <v>103</v>
      </c>
      <c r="I148" s="31">
        <f t="shared" si="591"/>
        <v>149</v>
      </c>
      <c r="J148" s="84">
        <f t="shared" si="591"/>
        <v>3259</v>
      </c>
      <c r="K148" s="86">
        <f t="shared" si="591"/>
        <v>3838</v>
      </c>
      <c r="L148" s="36">
        <f t="shared" si="526"/>
        <v>2849.9065</v>
      </c>
      <c r="M148" s="36">
        <f t="shared" si="514"/>
        <v>6056051.3125</v>
      </c>
      <c r="N148" s="36">
        <f t="shared" si="527"/>
        <v>886320.9215</v>
      </c>
      <c r="O148" s="36">
        <f t="shared" si="538"/>
        <v>929069.519</v>
      </c>
      <c r="P148" s="36">
        <f t="shared" si="550"/>
        <v>968968.21</v>
      </c>
      <c r="Q148" s="36">
        <f t="shared" si="561"/>
        <v>1014566.714</v>
      </c>
      <c r="R148" s="36">
        <f t="shared" si="572"/>
        <v>1060165.218</v>
      </c>
      <c r="S148" s="36">
        <f t="shared" si="583"/>
        <v>1108613.6285</v>
      </c>
      <c r="T148" s="36">
        <f aca="true" t="shared" si="592" ref="T148:T156">$C$147*$L$147</f>
        <v>1159911.9455</v>
      </c>
      <c r="U148" s="36">
        <f>$C$148*$L$148</f>
        <v>1214060.169</v>
      </c>
      <c r="V148" s="36"/>
      <c r="W148" s="36"/>
      <c r="X148" s="36"/>
      <c r="Y148" s="47"/>
      <c r="Z148" s="36">
        <f t="shared" si="515"/>
        <v>2507917.72</v>
      </c>
      <c r="AA148" s="36">
        <f t="shared" si="528"/>
        <v>353388.406</v>
      </c>
      <c r="AB148" s="36">
        <f t="shared" si="539"/>
        <v>364788.032</v>
      </c>
      <c r="AC148" s="36">
        <f t="shared" si="551"/>
        <v>376187.658</v>
      </c>
      <c r="AD148" s="36">
        <f t="shared" si="562"/>
        <v>387587.284</v>
      </c>
      <c r="AE148" s="36">
        <f t="shared" si="573"/>
        <v>398986.91000000003</v>
      </c>
      <c r="AF148" s="36">
        <f t="shared" si="584"/>
        <v>410386.536</v>
      </c>
      <c r="AG148" s="36">
        <f aca="true" t="shared" si="593" ref="AG148:AG156">$D$147*$L$147</f>
        <v>421786.162</v>
      </c>
      <c r="AH148" s="36">
        <f>$D$148*$L$148</f>
        <v>436035.6945</v>
      </c>
      <c r="AI148" s="36"/>
      <c r="AJ148" s="36"/>
      <c r="AK148" s="36"/>
      <c r="AL148" s="47"/>
      <c r="AM148" s="36">
        <f t="shared" si="516"/>
        <v>31810656.353</v>
      </c>
      <c r="AN148" s="36">
        <f t="shared" si="529"/>
        <v>4044017.3235</v>
      </c>
      <c r="AO148" s="36">
        <f t="shared" si="540"/>
        <v>4254910.4045</v>
      </c>
      <c r="AP148" s="36">
        <f t="shared" si="552"/>
        <v>4477203.1115</v>
      </c>
      <c r="AQ148" s="36">
        <f t="shared" si="563"/>
        <v>4708045.538</v>
      </c>
      <c r="AR148" s="36">
        <f t="shared" si="574"/>
        <v>4953137.497</v>
      </c>
      <c r="AS148" s="36">
        <f t="shared" si="585"/>
        <v>5212478.9885</v>
      </c>
      <c r="AT148" s="36">
        <f aca="true" t="shared" si="594" ref="AT148:AT156">$E$147*$L$147</f>
        <v>5483220.106</v>
      </c>
      <c r="AU148" s="36">
        <f>$E$148*$L$148</f>
        <v>5768210.756</v>
      </c>
      <c r="AV148" s="36"/>
      <c r="AW148" s="36"/>
      <c r="AX148" s="36"/>
      <c r="AY148" s="47"/>
      <c r="AZ148" s="36">
        <f t="shared" si="517"/>
        <v>10604502.0865</v>
      </c>
      <c r="BA148" s="36">
        <f t="shared" si="530"/>
        <v>1348005.7745</v>
      </c>
      <c r="BB148" s="36">
        <f t="shared" si="541"/>
        <v>1419253.437</v>
      </c>
      <c r="BC148" s="36">
        <f t="shared" si="553"/>
        <v>1493351.006</v>
      </c>
      <c r="BD148" s="36">
        <f t="shared" si="564"/>
        <v>1570298.4815</v>
      </c>
      <c r="BE148" s="36">
        <f t="shared" si="575"/>
        <v>1650095.8635</v>
      </c>
      <c r="BF148" s="36">
        <f t="shared" si="586"/>
        <v>1738442.965</v>
      </c>
      <c r="BG148" s="36">
        <f aca="true" t="shared" si="595" ref="BG148:BG156">$F$147*$L$147</f>
        <v>1826790.0665</v>
      </c>
      <c r="BH148" s="36">
        <f>$F$148*$L$148</f>
        <v>1923686.8875</v>
      </c>
      <c r="BI148" s="36"/>
      <c r="BJ148" s="36"/>
      <c r="BK148" s="36"/>
      <c r="BL148" s="47"/>
      <c r="BM148" s="36"/>
      <c r="BN148" s="36"/>
      <c r="BO148" s="36"/>
      <c r="BP148" s="36"/>
      <c r="BQ148" s="36"/>
      <c r="BR148" s="36"/>
      <c r="BS148" s="36"/>
      <c r="BT148" s="36"/>
      <c r="BU148" s="36"/>
      <c r="BV148" s="36"/>
      <c r="BW148" s="36"/>
      <c r="BX148" s="36"/>
      <c r="BY148" s="47"/>
      <c r="BZ148" s="36"/>
      <c r="CA148" s="36"/>
      <c r="CB148" s="36"/>
      <c r="CC148" s="36"/>
      <c r="CD148" s="36"/>
      <c r="CE148" s="36"/>
      <c r="CF148" s="36"/>
      <c r="CG148" s="36"/>
      <c r="CH148" s="36"/>
      <c r="CI148" s="36"/>
      <c r="CJ148" s="36"/>
      <c r="CK148" s="36"/>
      <c r="CL148" s="47"/>
      <c r="CM148" s="36">
        <f t="shared" si="518"/>
        <v>2342623.143</v>
      </c>
      <c r="CN148" s="36">
        <f t="shared" si="531"/>
        <v>299240.1825</v>
      </c>
      <c r="CO148" s="36">
        <f t="shared" si="542"/>
        <v>313489.715</v>
      </c>
      <c r="CP148" s="36">
        <f t="shared" si="554"/>
        <v>330589.154</v>
      </c>
      <c r="CQ148" s="36">
        <f t="shared" si="565"/>
        <v>347688.593</v>
      </c>
      <c r="CR148" s="36">
        <f t="shared" si="576"/>
        <v>364788.032</v>
      </c>
      <c r="CS148" s="36">
        <f t="shared" si="587"/>
        <v>384737.3775</v>
      </c>
      <c r="CT148" s="36">
        <f aca="true" t="shared" si="596" ref="CT148:CT156">$I$147*$L$147</f>
        <v>404686.723</v>
      </c>
      <c r="CU148" s="36">
        <f>$I$148*$L$148</f>
        <v>424636.0685</v>
      </c>
      <c r="CV148" s="36"/>
      <c r="CW148" s="36"/>
      <c r="CX148" s="36"/>
      <c r="CY148" s="36"/>
      <c r="CZ148" s="36">
        <f t="shared" si="511"/>
        <v>119553577.67500001</v>
      </c>
      <c r="DA148" s="38">
        <f>CZ148*(1+$E$10)^-14</f>
        <v>60382680.74960302</v>
      </c>
      <c r="DB148" s="78">
        <f t="shared" si="543"/>
        <v>6133</v>
      </c>
      <c r="DC148" s="36">
        <f t="shared" si="519"/>
        <v>13032625</v>
      </c>
      <c r="DD148" s="36">
        <f t="shared" si="532"/>
        <v>1907363</v>
      </c>
      <c r="DE148" s="36">
        <f t="shared" si="544"/>
        <v>1999358</v>
      </c>
      <c r="DF148" s="36">
        <f t="shared" si="555"/>
        <v>2085220</v>
      </c>
      <c r="DG148" s="36">
        <f t="shared" si="566"/>
        <v>2183348</v>
      </c>
      <c r="DH148" s="36">
        <f t="shared" si="577"/>
        <v>2281476</v>
      </c>
      <c r="DI148" s="36">
        <f aca="true" t="shared" si="597" ref="DI148:DI155">$C$146*$DB$146</f>
        <v>2385737</v>
      </c>
      <c r="DJ148" s="36">
        <f aca="true" t="shared" si="598" ref="DJ148:DJ156">$C$147*$DB$147</f>
        <v>2496131</v>
      </c>
      <c r="DK148" s="36">
        <f>$C$148*$DB$148</f>
        <v>2612658</v>
      </c>
      <c r="DL148" s="36"/>
      <c r="DM148" s="36"/>
      <c r="DN148" s="36"/>
      <c r="DO148" s="47"/>
      <c r="DP148" s="36">
        <f t="shared" si="520"/>
        <v>5397040</v>
      </c>
      <c r="DQ148" s="36">
        <f t="shared" si="533"/>
        <v>760492</v>
      </c>
      <c r="DR148" s="36">
        <f t="shared" si="545"/>
        <v>785024</v>
      </c>
      <c r="DS148" s="36">
        <f t="shared" si="556"/>
        <v>809556</v>
      </c>
      <c r="DT148" s="36">
        <f t="shared" si="567"/>
        <v>834088</v>
      </c>
      <c r="DU148" s="36">
        <f t="shared" si="578"/>
        <v>858620</v>
      </c>
      <c r="DV148" s="36">
        <f t="shared" si="588"/>
        <v>883152</v>
      </c>
      <c r="DW148" s="36">
        <f aca="true" t="shared" si="599" ref="DW148:DW156">$D$147*$DB$147</f>
        <v>907684</v>
      </c>
      <c r="DX148" s="36">
        <f>$D$148*$DB$148</f>
        <v>938349</v>
      </c>
      <c r="DY148" s="36"/>
      <c r="DZ148" s="36"/>
      <c r="EA148" s="36"/>
      <c r="EB148" s="47"/>
      <c r="EC148" s="36">
        <f t="shared" si="521"/>
        <v>68456546</v>
      </c>
      <c r="ED148" s="36">
        <f t="shared" si="534"/>
        <v>8702727</v>
      </c>
      <c r="EE148" s="36">
        <f t="shared" si="546"/>
        <v>9156569</v>
      </c>
      <c r="EF148" s="36">
        <f t="shared" si="557"/>
        <v>9634943</v>
      </c>
      <c r="EG148" s="36">
        <f t="shared" si="568"/>
        <v>10131716</v>
      </c>
      <c r="EH148" s="36">
        <f t="shared" si="579"/>
        <v>10659154</v>
      </c>
      <c r="EI148" s="36">
        <f aca="true" t="shared" si="600" ref="EI148:EI155">$E$146*$DB$146</f>
        <v>11217257</v>
      </c>
      <c r="EJ148" s="36">
        <f aca="true" t="shared" si="601" ref="EJ148:EJ156">$E$147*$DB$147</f>
        <v>11799892</v>
      </c>
      <c r="EK148" s="36">
        <f>$E$148*$DB$148</f>
        <v>12413192</v>
      </c>
      <c r="EL148" s="36"/>
      <c r="EM148" s="36"/>
      <c r="EN148" s="36"/>
      <c r="EO148" s="47"/>
      <c r="EP148" s="36">
        <f t="shared" si="522"/>
        <v>22820893</v>
      </c>
      <c r="EQ148" s="36">
        <f t="shared" si="535"/>
        <v>2900909</v>
      </c>
      <c r="ER148" s="36">
        <f t="shared" si="547"/>
        <v>3054234</v>
      </c>
      <c r="ES148" s="36">
        <f t="shared" si="558"/>
        <v>3213692</v>
      </c>
      <c r="ET148" s="36">
        <f t="shared" si="569"/>
        <v>3379283</v>
      </c>
      <c r="EU148" s="36">
        <f t="shared" si="580"/>
        <v>3551007</v>
      </c>
      <c r="EV148" s="36">
        <f t="shared" si="589"/>
        <v>3741130</v>
      </c>
      <c r="EW148" s="36">
        <f aca="true" t="shared" si="602" ref="EW148:EW156">$F$147*$DB$147</f>
        <v>3931253</v>
      </c>
      <c r="EX148" s="36">
        <f>$F$148*$DB$148</f>
        <v>4139775</v>
      </c>
      <c r="EY148" s="36"/>
      <c r="EZ148" s="36"/>
      <c r="FA148" s="36"/>
      <c r="FB148" s="47"/>
      <c r="FC148" s="36"/>
      <c r="FD148" s="36"/>
      <c r="FE148" s="36"/>
      <c r="FF148" s="36"/>
      <c r="FG148" s="36"/>
      <c r="FH148" s="36"/>
      <c r="FI148" s="36"/>
      <c r="FJ148" s="36"/>
      <c r="FK148" s="36"/>
      <c r="FL148" s="36"/>
      <c r="FM148" s="36"/>
      <c r="FN148" s="36"/>
      <c r="FO148" s="47"/>
      <c r="FP148" s="36"/>
      <c r="FQ148" s="36"/>
      <c r="FR148" s="36"/>
      <c r="FS148" s="36"/>
      <c r="FT148" s="36"/>
      <c r="FU148" s="36"/>
      <c r="FV148" s="36"/>
      <c r="FW148" s="36"/>
      <c r="FX148" s="36"/>
      <c r="FY148" s="36"/>
      <c r="FZ148" s="36"/>
      <c r="GA148" s="36"/>
      <c r="GB148" s="47"/>
      <c r="GC148" s="36">
        <f t="shared" si="523"/>
        <v>5041326</v>
      </c>
      <c r="GD148" s="36">
        <f t="shared" si="536"/>
        <v>643965</v>
      </c>
      <c r="GE148" s="36">
        <f t="shared" si="548"/>
        <v>674630</v>
      </c>
      <c r="GF148" s="36">
        <f t="shared" si="559"/>
        <v>711428</v>
      </c>
      <c r="GG148" s="36">
        <f t="shared" si="570"/>
        <v>748226</v>
      </c>
      <c r="GH148" s="36">
        <f t="shared" si="581"/>
        <v>785024</v>
      </c>
      <c r="GI148" s="36">
        <f t="shared" si="590"/>
        <v>827955</v>
      </c>
      <c r="GJ148" s="36">
        <f aca="true" t="shared" si="603" ref="GJ148:GJ156">$I$147*$DB$147</f>
        <v>870886</v>
      </c>
      <c r="GK148" s="36">
        <f>$I$148*$DB$148</f>
        <v>913817</v>
      </c>
      <c r="GL148" s="36"/>
      <c r="GM148" s="36"/>
      <c r="GN148" s="36"/>
      <c r="GO148" s="47"/>
      <c r="GP148" s="36">
        <f>SUM(DC148:GO148)</f>
        <v>257279350</v>
      </c>
      <c r="GQ148" s="38">
        <f>GP148*(1+$E$11)^-14</f>
        <v>129943554.65251765</v>
      </c>
      <c r="GR148" s="38">
        <f t="shared" si="524"/>
        <v>376832927.675</v>
      </c>
      <c r="GS148" s="52">
        <f t="shared" si="512"/>
        <v>190326235.40212065</v>
      </c>
      <c r="GT148" s="9"/>
    </row>
    <row r="149" spans="1:202" ht="15.75">
      <c r="A149" s="9">
        <v>2010</v>
      </c>
      <c r="B149" s="49">
        <v>2017</v>
      </c>
      <c r="C149" s="31">
        <f aca="true" t="shared" si="604" ref="C149:K149">C34</f>
        <v>445</v>
      </c>
      <c r="D149" s="31">
        <f t="shared" si="604"/>
        <v>157</v>
      </c>
      <c r="E149" s="31">
        <f t="shared" si="604"/>
        <v>2129</v>
      </c>
      <c r="F149" s="31">
        <f t="shared" si="604"/>
        <v>710</v>
      </c>
      <c r="G149" s="31">
        <f t="shared" si="604"/>
        <v>339</v>
      </c>
      <c r="H149" s="31">
        <f t="shared" si="604"/>
        <v>113</v>
      </c>
      <c r="I149" s="31">
        <f t="shared" si="604"/>
        <v>157</v>
      </c>
      <c r="J149" s="84">
        <f t="shared" si="604"/>
        <v>3448</v>
      </c>
      <c r="K149" s="86">
        <f t="shared" si="604"/>
        <v>4050</v>
      </c>
      <c r="L149" s="36">
        <f t="shared" si="526"/>
        <v>2849.9065</v>
      </c>
      <c r="M149" s="36">
        <f t="shared" si="514"/>
        <v>6056051.3125</v>
      </c>
      <c r="N149" s="36">
        <f t="shared" si="527"/>
        <v>886320.9215</v>
      </c>
      <c r="O149" s="36">
        <f t="shared" si="538"/>
        <v>929069.519</v>
      </c>
      <c r="P149" s="36">
        <f t="shared" si="550"/>
        <v>968968.21</v>
      </c>
      <c r="Q149" s="36">
        <f t="shared" si="561"/>
        <v>1014566.714</v>
      </c>
      <c r="R149" s="36">
        <f t="shared" si="572"/>
        <v>1060165.218</v>
      </c>
      <c r="S149" s="36">
        <f t="shared" si="583"/>
        <v>1108613.6285</v>
      </c>
      <c r="T149" s="36">
        <f t="shared" si="592"/>
        <v>1159911.9455</v>
      </c>
      <c r="U149" s="36">
        <f aca="true" t="shared" si="605" ref="U149:U157">$C$148*$L$148</f>
        <v>1214060.169</v>
      </c>
      <c r="V149" s="36">
        <f>$C$149*$L$149</f>
        <v>1268208.3925</v>
      </c>
      <c r="W149" s="36"/>
      <c r="X149" s="36"/>
      <c r="Y149" s="47"/>
      <c r="Z149" s="36">
        <f t="shared" si="515"/>
        <v>2507917.72</v>
      </c>
      <c r="AA149" s="36">
        <f t="shared" si="528"/>
        <v>353388.406</v>
      </c>
      <c r="AB149" s="36">
        <f t="shared" si="539"/>
        <v>364788.032</v>
      </c>
      <c r="AC149" s="36">
        <f t="shared" si="551"/>
        <v>376187.658</v>
      </c>
      <c r="AD149" s="36">
        <f t="shared" si="562"/>
        <v>387587.284</v>
      </c>
      <c r="AE149" s="36">
        <f t="shared" si="573"/>
        <v>398986.91000000003</v>
      </c>
      <c r="AF149" s="36">
        <f t="shared" si="584"/>
        <v>410386.536</v>
      </c>
      <c r="AG149" s="36">
        <f t="shared" si="593"/>
        <v>421786.162</v>
      </c>
      <c r="AH149" s="36">
        <f aca="true" t="shared" si="606" ref="AH149:AH157">$D$148*$L$148</f>
        <v>436035.6945</v>
      </c>
      <c r="AI149" s="36">
        <f>$D$149*$L$149</f>
        <v>447435.32050000003</v>
      </c>
      <c r="AJ149" s="36"/>
      <c r="AK149" s="36"/>
      <c r="AL149" s="47"/>
      <c r="AM149" s="36">
        <f t="shared" si="516"/>
        <v>31810656.353</v>
      </c>
      <c r="AN149" s="36">
        <f t="shared" si="529"/>
        <v>4044017.3235</v>
      </c>
      <c r="AO149" s="36">
        <f t="shared" si="540"/>
        <v>4254910.4045</v>
      </c>
      <c r="AP149" s="36">
        <f t="shared" si="552"/>
        <v>4477203.1115</v>
      </c>
      <c r="AQ149" s="36">
        <f t="shared" si="563"/>
        <v>4708045.538</v>
      </c>
      <c r="AR149" s="36">
        <f t="shared" si="574"/>
        <v>4953137.497</v>
      </c>
      <c r="AS149" s="36">
        <f t="shared" si="585"/>
        <v>5212478.9885</v>
      </c>
      <c r="AT149" s="36">
        <f t="shared" si="594"/>
        <v>5483220.106</v>
      </c>
      <c r="AU149" s="36">
        <f aca="true" t="shared" si="607" ref="AU149:AU157">$E$148*$L$148</f>
        <v>5768210.756</v>
      </c>
      <c r="AV149" s="36">
        <f>$E$149*$L$149</f>
        <v>6067450.9385</v>
      </c>
      <c r="AW149" s="36"/>
      <c r="AX149" s="36"/>
      <c r="AY149" s="47"/>
      <c r="AZ149" s="36">
        <f t="shared" si="517"/>
        <v>10604502.0865</v>
      </c>
      <c r="BA149" s="36">
        <f t="shared" si="530"/>
        <v>1348005.7745</v>
      </c>
      <c r="BB149" s="36">
        <f t="shared" si="541"/>
        <v>1419253.437</v>
      </c>
      <c r="BC149" s="36">
        <f t="shared" si="553"/>
        <v>1493351.006</v>
      </c>
      <c r="BD149" s="36">
        <f t="shared" si="564"/>
        <v>1570298.4815</v>
      </c>
      <c r="BE149" s="36">
        <f t="shared" si="575"/>
        <v>1650095.8635</v>
      </c>
      <c r="BF149" s="36">
        <f t="shared" si="586"/>
        <v>1738442.965</v>
      </c>
      <c r="BG149" s="36">
        <f t="shared" si="595"/>
        <v>1826790.0665</v>
      </c>
      <c r="BH149" s="36">
        <f aca="true" t="shared" si="608" ref="BH149:BH157">$F$148*$L$148</f>
        <v>1923686.8875</v>
      </c>
      <c r="BI149" s="36">
        <f>$F$149*$L$149</f>
        <v>2023433.615</v>
      </c>
      <c r="BJ149" s="36"/>
      <c r="BK149" s="36"/>
      <c r="BL149" s="47"/>
      <c r="BM149" s="36"/>
      <c r="BN149" s="36"/>
      <c r="BO149" s="36"/>
      <c r="BP149" s="36"/>
      <c r="BQ149" s="36"/>
      <c r="BR149" s="36"/>
      <c r="BS149" s="36"/>
      <c r="BT149" s="36"/>
      <c r="BU149" s="36"/>
      <c r="BV149" s="36"/>
      <c r="BW149" s="36"/>
      <c r="BX149" s="36"/>
      <c r="BY149" s="47"/>
      <c r="BZ149" s="36"/>
      <c r="CA149" s="36"/>
      <c r="CB149" s="36"/>
      <c r="CC149" s="36"/>
      <c r="CD149" s="36"/>
      <c r="CE149" s="36"/>
      <c r="CF149" s="36"/>
      <c r="CG149" s="36"/>
      <c r="CH149" s="36"/>
      <c r="CI149" s="36"/>
      <c r="CJ149" s="36"/>
      <c r="CK149" s="36"/>
      <c r="CL149" s="47"/>
      <c r="CM149" s="36">
        <f t="shared" si="518"/>
        <v>2342623.143</v>
      </c>
      <c r="CN149" s="36">
        <f t="shared" si="531"/>
        <v>299240.1825</v>
      </c>
      <c r="CO149" s="36">
        <f t="shared" si="542"/>
        <v>313489.715</v>
      </c>
      <c r="CP149" s="36">
        <f t="shared" si="554"/>
        <v>330589.154</v>
      </c>
      <c r="CQ149" s="36">
        <f t="shared" si="565"/>
        <v>347688.593</v>
      </c>
      <c r="CR149" s="36">
        <f t="shared" si="576"/>
        <v>364788.032</v>
      </c>
      <c r="CS149" s="36">
        <f t="shared" si="587"/>
        <v>384737.3775</v>
      </c>
      <c r="CT149" s="36">
        <f t="shared" si="596"/>
        <v>404686.723</v>
      </c>
      <c r="CU149" s="36">
        <f aca="true" t="shared" si="609" ref="CU149:CU157">$I$148*$L$148</f>
        <v>424636.0685</v>
      </c>
      <c r="CV149" s="36">
        <f>$I$149*$L$149</f>
        <v>447435.32050000003</v>
      </c>
      <c r="CW149" s="36"/>
      <c r="CX149" s="36"/>
      <c r="CY149" s="36"/>
      <c r="CZ149" s="36">
        <f t="shared" si="511"/>
        <v>129807541.26200001</v>
      </c>
      <c r="DA149" s="38">
        <f>CZ149*(1+$E$10)^-15</f>
        <v>62439646.80817112</v>
      </c>
      <c r="DB149" s="78">
        <f t="shared" si="543"/>
        <v>6133</v>
      </c>
      <c r="DC149" s="36">
        <f t="shared" si="519"/>
        <v>13032625</v>
      </c>
      <c r="DD149" s="36">
        <f t="shared" si="532"/>
        <v>1907363</v>
      </c>
      <c r="DE149" s="36">
        <f t="shared" si="544"/>
        <v>1999358</v>
      </c>
      <c r="DF149" s="36">
        <f t="shared" si="555"/>
        <v>2085220</v>
      </c>
      <c r="DG149" s="36">
        <f t="shared" si="566"/>
        <v>2183348</v>
      </c>
      <c r="DH149" s="36">
        <f t="shared" si="577"/>
        <v>2281476</v>
      </c>
      <c r="DI149" s="36">
        <f t="shared" si="597"/>
        <v>2385737</v>
      </c>
      <c r="DJ149" s="36">
        <f t="shared" si="598"/>
        <v>2496131</v>
      </c>
      <c r="DK149" s="36">
        <f aca="true" t="shared" si="610" ref="DK149:DK157">$C$148*$DB$148</f>
        <v>2612658</v>
      </c>
      <c r="DL149" s="36">
        <f>$C$149*$DB$149</f>
        <v>2729185</v>
      </c>
      <c r="DM149" s="36"/>
      <c r="DN149" s="36"/>
      <c r="DO149" s="47"/>
      <c r="DP149" s="36">
        <f t="shared" si="520"/>
        <v>5397040</v>
      </c>
      <c r="DQ149" s="36">
        <f t="shared" si="533"/>
        <v>760492</v>
      </c>
      <c r="DR149" s="36">
        <f t="shared" si="545"/>
        <v>785024</v>
      </c>
      <c r="DS149" s="36">
        <f t="shared" si="556"/>
        <v>809556</v>
      </c>
      <c r="DT149" s="36">
        <f t="shared" si="567"/>
        <v>834088</v>
      </c>
      <c r="DU149" s="36">
        <f t="shared" si="578"/>
        <v>858620</v>
      </c>
      <c r="DV149" s="36">
        <f t="shared" si="588"/>
        <v>883152</v>
      </c>
      <c r="DW149" s="36">
        <f t="shared" si="599"/>
        <v>907684</v>
      </c>
      <c r="DX149" s="36">
        <f aca="true" t="shared" si="611" ref="DX149:DX157">$D$148*$DB$148</f>
        <v>938349</v>
      </c>
      <c r="DY149" s="36">
        <f>$D$149*$DB$149</f>
        <v>962881</v>
      </c>
      <c r="DZ149" s="36"/>
      <c r="EA149" s="36"/>
      <c r="EB149" s="47"/>
      <c r="EC149" s="36">
        <f t="shared" si="521"/>
        <v>68456546</v>
      </c>
      <c r="ED149" s="36">
        <f t="shared" si="534"/>
        <v>8702727</v>
      </c>
      <c r="EE149" s="36">
        <f t="shared" si="546"/>
        <v>9156569</v>
      </c>
      <c r="EF149" s="36">
        <f t="shared" si="557"/>
        <v>9634943</v>
      </c>
      <c r="EG149" s="36">
        <f t="shared" si="568"/>
        <v>10131716</v>
      </c>
      <c r="EH149" s="36">
        <f t="shared" si="579"/>
        <v>10659154</v>
      </c>
      <c r="EI149" s="36">
        <f t="shared" si="600"/>
        <v>11217257</v>
      </c>
      <c r="EJ149" s="36">
        <f t="shared" si="601"/>
        <v>11799892</v>
      </c>
      <c r="EK149" s="36">
        <f aca="true" t="shared" si="612" ref="EK149:EK157">$E$148*$DB$148</f>
        <v>12413192</v>
      </c>
      <c r="EL149" s="36">
        <f>$E$149*$DB$149</f>
        <v>13057157</v>
      </c>
      <c r="EM149" s="36"/>
      <c r="EN149" s="36"/>
      <c r="EO149" s="47"/>
      <c r="EP149" s="36">
        <f t="shared" si="522"/>
        <v>22820893</v>
      </c>
      <c r="EQ149" s="36">
        <f t="shared" si="535"/>
        <v>2900909</v>
      </c>
      <c r="ER149" s="36">
        <f t="shared" si="547"/>
        <v>3054234</v>
      </c>
      <c r="ES149" s="36">
        <f t="shared" si="558"/>
        <v>3213692</v>
      </c>
      <c r="ET149" s="36">
        <f t="shared" si="569"/>
        <v>3379283</v>
      </c>
      <c r="EU149" s="36">
        <f t="shared" si="580"/>
        <v>3551007</v>
      </c>
      <c r="EV149" s="36">
        <f t="shared" si="589"/>
        <v>3741130</v>
      </c>
      <c r="EW149" s="36">
        <f t="shared" si="602"/>
        <v>3931253</v>
      </c>
      <c r="EX149" s="36">
        <f aca="true" t="shared" si="613" ref="EX149:EX157">$F$148*$DB$148</f>
        <v>4139775</v>
      </c>
      <c r="EY149" s="36">
        <f>$F$149*$DB$149</f>
        <v>4354430</v>
      </c>
      <c r="EZ149" s="36"/>
      <c r="FA149" s="36"/>
      <c r="FB149" s="47"/>
      <c r="FC149" s="36"/>
      <c r="FD149" s="36"/>
      <c r="FE149" s="36"/>
      <c r="FF149" s="36"/>
      <c r="FG149" s="36"/>
      <c r="FH149" s="36"/>
      <c r="FI149" s="36"/>
      <c r="FJ149" s="36"/>
      <c r="FK149" s="36"/>
      <c r="FL149" s="36"/>
      <c r="FM149" s="36"/>
      <c r="FN149" s="36"/>
      <c r="FO149" s="47"/>
      <c r="FP149" s="36"/>
      <c r="FQ149" s="36"/>
      <c r="FR149" s="36"/>
      <c r="FS149" s="36"/>
      <c r="FT149" s="36"/>
      <c r="FU149" s="36"/>
      <c r="FV149" s="36"/>
      <c r="FW149" s="36"/>
      <c r="FX149" s="36"/>
      <c r="FY149" s="36"/>
      <c r="FZ149" s="36"/>
      <c r="GA149" s="36"/>
      <c r="GB149" s="47"/>
      <c r="GC149" s="36">
        <f t="shared" si="523"/>
        <v>5041326</v>
      </c>
      <c r="GD149" s="36">
        <f t="shared" si="536"/>
        <v>643965</v>
      </c>
      <c r="GE149" s="36">
        <f t="shared" si="548"/>
        <v>674630</v>
      </c>
      <c r="GF149" s="36">
        <f t="shared" si="559"/>
        <v>711428</v>
      </c>
      <c r="GG149" s="36">
        <f t="shared" si="570"/>
        <v>748226</v>
      </c>
      <c r="GH149" s="36">
        <f t="shared" si="581"/>
        <v>785024</v>
      </c>
      <c r="GI149" s="36">
        <f t="shared" si="590"/>
        <v>827955</v>
      </c>
      <c r="GJ149" s="36">
        <f t="shared" si="603"/>
        <v>870886</v>
      </c>
      <c r="GK149" s="36">
        <f aca="true" t="shared" si="614" ref="GK149:GK157">$I$148*$DB$148</f>
        <v>913817</v>
      </c>
      <c r="GL149" s="36">
        <f>$I$149*$DB$149</f>
        <v>962881</v>
      </c>
      <c r="GM149" s="36"/>
      <c r="GN149" s="36"/>
      <c r="GO149" s="47"/>
      <c r="GP149" s="36">
        <f>SUM(DC149:GO149)</f>
        <v>279345884</v>
      </c>
      <c r="GQ149" s="38">
        <f>GP149*(1+$E$11)^-15</f>
        <v>134370146.48533678</v>
      </c>
      <c r="GR149" s="38">
        <f t="shared" si="524"/>
        <v>409153425.262</v>
      </c>
      <c r="GS149" s="52">
        <f t="shared" si="512"/>
        <v>196809793.2935079</v>
      </c>
      <c r="GT149" s="9"/>
    </row>
    <row r="150" spans="1:202" ht="15.75">
      <c r="A150" s="9">
        <v>2011</v>
      </c>
      <c r="B150" s="49">
        <v>2018</v>
      </c>
      <c r="C150" s="31">
        <f aca="true" t="shared" si="615" ref="C150:K150">C35</f>
        <v>465</v>
      </c>
      <c r="D150" s="31">
        <f t="shared" si="615"/>
        <v>162</v>
      </c>
      <c r="E150" s="31">
        <f t="shared" si="615"/>
        <v>2240</v>
      </c>
      <c r="F150" s="31">
        <f t="shared" si="615"/>
        <v>747</v>
      </c>
      <c r="G150" s="31">
        <f t="shared" si="615"/>
        <v>374</v>
      </c>
      <c r="H150" s="31">
        <f t="shared" si="615"/>
        <v>125</v>
      </c>
      <c r="I150" s="31">
        <f t="shared" si="615"/>
        <v>165</v>
      </c>
      <c r="J150" s="84">
        <f t="shared" si="615"/>
        <v>3651</v>
      </c>
      <c r="K150" s="86">
        <f t="shared" si="615"/>
        <v>4278</v>
      </c>
      <c r="L150" s="36">
        <f t="shared" si="526"/>
        <v>2849.9065</v>
      </c>
      <c r="M150" s="36"/>
      <c r="N150" s="36">
        <f t="shared" si="527"/>
        <v>886320.9215</v>
      </c>
      <c r="O150" s="36">
        <f t="shared" si="538"/>
        <v>929069.519</v>
      </c>
      <c r="P150" s="36">
        <f t="shared" si="550"/>
        <v>968968.21</v>
      </c>
      <c r="Q150" s="36">
        <f t="shared" si="561"/>
        <v>1014566.714</v>
      </c>
      <c r="R150" s="36">
        <f t="shared" si="572"/>
        <v>1060165.218</v>
      </c>
      <c r="S150" s="36">
        <f t="shared" si="583"/>
        <v>1108613.6285</v>
      </c>
      <c r="T150" s="36">
        <f t="shared" si="592"/>
        <v>1159911.9455</v>
      </c>
      <c r="U150" s="36">
        <f t="shared" si="605"/>
        <v>1214060.169</v>
      </c>
      <c r="V150" s="36">
        <f aca="true" t="shared" si="616" ref="V150:V158">$C$149*$L$149</f>
        <v>1268208.3925</v>
      </c>
      <c r="W150" s="36">
        <f>$C$150*$L$150</f>
        <v>1325206.5225</v>
      </c>
      <c r="X150" s="36"/>
      <c r="Y150" s="47"/>
      <c r="Z150" s="36"/>
      <c r="AA150" s="36">
        <f t="shared" si="528"/>
        <v>353388.406</v>
      </c>
      <c r="AB150" s="36">
        <f t="shared" si="539"/>
        <v>364788.032</v>
      </c>
      <c r="AC150" s="36">
        <f t="shared" si="551"/>
        <v>376187.658</v>
      </c>
      <c r="AD150" s="36">
        <f t="shared" si="562"/>
        <v>387587.284</v>
      </c>
      <c r="AE150" s="36">
        <f t="shared" si="573"/>
        <v>398986.91000000003</v>
      </c>
      <c r="AF150" s="36">
        <f t="shared" si="584"/>
        <v>410386.536</v>
      </c>
      <c r="AG150" s="36">
        <f t="shared" si="593"/>
        <v>421786.162</v>
      </c>
      <c r="AH150" s="36">
        <f t="shared" si="606"/>
        <v>436035.6945</v>
      </c>
      <c r="AI150" s="36">
        <f aca="true" t="shared" si="617" ref="AI150:AI158">$D$149*$L$149</f>
        <v>447435.32050000003</v>
      </c>
      <c r="AJ150" s="36">
        <f>$D$150*$L$150</f>
        <v>461684.853</v>
      </c>
      <c r="AK150" s="36"/>
      <c r="AL150" s="47"/>
      <c r="AM150" s="36"/>
      <c r="AN150" s="36">
        <f t="shared" si="529"/>
        <v>4044017.3235</v>
      </c>
      <c r="AO150" s="36">
        <f t="shared" si="540"/>
        <v>4254910.4045</v>
      </c>
      <c r="AP150" s="36">
        <f t="shared" si="552"/>
        <v>4477203.1115</v>
      </c>
      <c r="AQ150" s="36">
        <f t="shared" si="563"/>
        <v>4708045.538</v>
      </c>
      <c r="AR150" s="36">
        <f t="shared" si="574"/>
        <v>4953137.497</v>
      </c>
      <c r="AS150" s="36">
        <f t="shared" si="585"/>
        <v>5212478.9885</v>
      </c>
      <c r="AT150" s="36">
        <f t="shared" si="594"/>
        <v>5483220.106</v>
      </c>
      <c r="AU150" s="36">
        <f t="shared" si="607"/>
        <v>5768210.756</v>
      </c>
      <c r="AV150" s="36">
        <f aca="true" t="shared" si="618" ref="AV150:AV158">$E$149*$L$149</f>
        <v>6067450.9385</v>
      </c>
      <c r="AW150" s="36">
        <f>$E$150*$L$150</f>
        <v>6383790.5600000005</v>
      </c>
      <c r="AX150" s="36"/>
      <c r="AY150" s="47"/>
      <c r="AZ150" s="36"/>
      <c r="BA150" s="36">
        <f t="shared" si="530"/>
        <v>1348005.7745</v>
      </c>
      <c r="BB150" s="36">
        <f t="shared" si="541"/>
        <v>1419253.437</v>
      </c>
      <c r="BC150" s="36">
        <f t="shared" si="553"/>
        <v>1493351.006</v>
      </c>
      <c r="BD150" s="36">
        <f t="shared" si="564"/>
        <v>1570298.4815</v>
      </c>
      <c r="BE150" s="36">
        <f t="shared" si="575"/>
        <v>1650095.8635</v>
      </c>
      <c r="BF150" s="36">
        <f t="shared" si="586"/>
        <v>1738442.965</v>
      </c>
      <c r="BG150" s="36">
        <f t="shared" si="595"/>
        <v>1826790.0665</v>
      </c>
      <c r="BH150" s="36">
        <f t="shared" si="608"/>
        <v>1923686.8875</v>
      </c>
      <c r="BI150" s="36">
        <f aca="true" t="shared" si="619" ref="BI150:BI158">$F$149*$L$149</f>
        <v>2023433.615</v>
      </c>
      <c r="BJ150" s="36">
        <f>$F$150*$L$150</f>
        <v>2128880.1555</v>
      </c>
      <c r="BK150" s="36"/>
      <c r="BL150" s="47"/>
      <c r="BM150" s="36"/>
      <c r="BN150" s="36"/>
      <c r="BO150" s="36"/>
      <c r="BP150" s="36"/>
      <c r="BQ150" s="36"/>
      <c r="BR150" s="36"/>
      <c r="BS150" s="36"/>
      <c r="BT150" s="36"/>
      <c r="BU150" s="36"/>
      <c r="BV150" s="36"/>
      <c r="BW150" s="36"/>
      <c r="BX150" s="36"/>
      <c r="BY150" s="47"/>
      <c r="BZ150" s="36"/>
      <c r="CA150" s="36"/>
      <c r="CB150" s="36"/>
      <c r="CC150" s="36"/>
      <c r="CD150" s="36"/>
      <c r="CE150" s="36"/>
      <c r="CF150" s="36"/>
      <c r="CG150" s="36"/>
      <c r="CH150" s="36"/>
      <c r="CI150" s="36"/>
      <c r="CJ150" s="36"/>
      <c r="CK150" s="36"/>
      <c r="CL150" s="47"/>
      <c r="CM150" s="36"/>
      <c r="CN150" s="36">
        <f t="shared" si="531"/>
        <v>299240.1825</v>
      </c>
      <c r="CO150" s="36">
        <f t="shared" si="542"/>
        <v>313489.715</v>
      </c>
      <c r="CP150" s="36">
        <f t="shared" si="554"/>
        <v>330589.154</v>
      </c>
      <c r="CQ150" s="36">
        <f t="shared" si="565"/>
        <v>347688.593</v>
      </c>
      <c r="CR150" s="36">
        <f t="shared" si="576"/>
        <v>364788.032</v>
      </c>
      <c r="CS150" s="36">
        <f t="shared" si="587"/>
        <v>384737.3775</v>
      </c>
      <c r="CT150" s="36">
        <f t="shared" si="596"/>
        <v>404686.723</v>
      </c>
      <c r="CU150" s="36">
        <f t="shared" si="609"/>
        <v>424636.0685</v>
      </c>
      <c r="CV150" s="36">
        <f aca="true" t="shared" si="620" ref="CV150:CV158">$I$149*$L$149</f>
        <v>447435.32050000003</v>
      </c>
      <c r="CW150" s="36">
        <f>$I$150*$L$150</f>
        <v>470234.5725</v>
      </c>
      <c r="CX150" s="36"/>
      <c r="CY150" s="36"/>
      <c r="CZ150" s="36">
        <f t="shared" si="511"/>
        <v>87255587.3105</v>
      </c>
      <c r="DA150" s="38">
        <f>CZ150*(1+$E$10)^-16</f>
        <v>39972789.90506666</v>
      </c>
      <c r="DB150" s="78">
        <f t="shared" si="543"/>
        <v>6133</v>
      </c>
      <c r="DC150" s="36"/>
      <c r="DD150" s="36">
        <f t="shared" si="532"/>
        <v>1907363</v>
      </c>
      <c r="DE150" s="36">
        <f t="shared" si="544"/>
        <v>1999358</v>
      </c>
      <c r="DF150" s="36">
        <f t="shared" si="555"/>
        <v>2085220</v>
      </c>
      <c r="DG150" s="36">
        <f t="shared" si="566"/>
        <v>2183348</v>
      </c>
      <c r="DH150" s="36">
        <f t="shared" si="577"/>
        <v>2281476</v>
      </c>
      <c r="DI150" s="36">
        <f t="shared" si="597"/>
        <v>2385737</v>
      </c>
      <c r="DJ150" s="36">
        <f t="shared" si="598"/>
        <v>2496131</v>
      </c>
      <c r="DK150" s="36">
        <f t="shared" si="610"/>
        <v>2612658</v>
      </c>
      <c r="DL150" s="36">
        <f aca="true" t="shared" si="621" ref="DL150:DL158">$C$149*$DB$149</f>
        <v>2729185</v>
      </c>
      <c r="DM150" s="36">
        <f>$C$150*$DB$150</f>
        <v>2851845</v>
      </c>
      <c r="DN150" s="36"/>
      <c r="DO150" s="47"/>
      <c r="DP150" s="36"/>
      <c r="DQ150" s="36">
        <f t="shared" si="533"/>
        <v>760492</v>
      </c>
      <c r="DR150" s="36">
        <f t="shared" si="545"/>
        <v>785024</v>
      </c>
      <c r="DS150" s="36">
        <f t="shared" si="556"/>
        <v>809556</v>
      </c>
      <c r="DT150" s="36">
        <f t="shared" si="567"/>
        <v>834088</v>
      </c>
      <c r="DU150" s="36">
        <f t="shared" si="578"/>
        <v>858620</v>
      </c>
      <c r="DV150" s="36">
        <f t="shared" si="588"/>
        <v>883152</v>
      </c>
      <c r="DW150" s="36">
        <f t="shared" si="599"/>
        <v>907684</v>
      </c>
      <c r="DX150" s="36">
        <f t="shared" si="611"/>
        <v>938349</v>
      </c>
      <c r="DY150" s="36">
        <f aca="true" t="shared" si="622" ref="DY150:DY158">$D$149*$DB$149</f>
        <v>962881</v>
      </c>
      <c r="DZ150" s="36">
        <f>$D$150*$DB$150</f>
        <v>993546</v>
      </c>
      <c r="EA150" s="36"/>
      <c r="EB150" s="47"/>
      <c r="EC150" s="36"/>
      <c r="ED150" s="36">
        <f t="shared" si="534"/>
        <v>8702727</v>
      </c>
      <c r="EE150" s="36">
        <f t="shared" si="546"/>
        <v>9156569</v>
      </c>
      <c r="EF150" s="36">
        <f t="shared" si="557"/>
        <v>9634943</v>
      </c>
      <c r="EG150" s="36">
        <f t="shared" si="568"/>
        <v>10131716</v>
      </c>
      <c r="EH150" s="36">
        <f t="shared" si="579"/>
        <v>10659154</v>
      </c>
      <c r="EI150" s="36">
        <f t="shared" si="600"/>
        <v>11217257</v>
      </c>
      <c r="EJ150" s="36">
        <f t="shared" si="601"/>
        <v>11799892</v>
      </c>
      <c r="EK150" s="36">
        <f t="shared" si="612"/>
        <v>12413192</v>
      </c>
      <c r="EL150" s="36">
        <f aca="true" t="shared" si="623" ref="EL150:EL158">$E$149*$DB$149</f>
        <v>13057157</v>
      </c>
      <c r="EM150" s="36">
        <f>$E$150*$DB$150</f>
        <v>13737920</v>
      </c>
      <c r="EN150" s="36"/>
      <c r="EO150" s="47"/>
      <c r="EP150" s="36"/>
      <c r="EQ150" s="36">
        <f t="shared" si="535"/>
        <v>2900909</v>
      </c>
      <c r="ER150" s="36">
        <f t="shared" si="547"/>
        <v>3054234</v>
      </c>
      <c r="ES150" s="36">
        <f t="shared" si="558"/>
        <v>3213692</v>
      </c>
      <c r="ET150" s="36">
        <f t="shared" si="569"/>
        <v>3379283</v>
      </c>
      <c r="EU150" s="36">
        <f t="shared" si="580"/>
        <v>3551007</v>
      </c>
      <c r="EV150" s="36">
        <f t="shared" si="589"/>
        <v>3741130</v>
      </c>
      <c r="EW150" s="36">
        <f t="shared" si="602"/>
        <v>3931253</v>
      </c>
      <c r="EX150" s="36">
        <f t="shared" si="613"/>
        <v>4139775</v>
      </c>
      <c r="EY150" s="36">
        <f aca="true" t="shared" si="624" ref="EY150:EY158">$F$149*$DB$149</f>
        <v>4354430</v>
      </c>
      <c r="EZ150" s="36">
        <f>$F$150*$DB$150</f>
        <v>4581351</v>
      </c>
      <c r="FA150" s="36"/>
      <c r="FB150" s="47"/>
      <c r="FC150" s="36"/>
      <c r="FD150" s="36"/>
      <c r="FE150" s="36"/>
      <c r="FF150" s="36"/>
      <c r="FG150" s="36"/>
      <c r="FH150" s="36"/>
      <c r="FI150" s="36"/>
      <c r="FJ150" s="36"/>
      <c r="FK150" s="36"/>
      <c r="FL150" s="36"/>
      <c r="FM150" s="36"/>
      <c r="FN150" s="36"/>
      <c r="FO150" s="47"/>
      <c r="FP150" s="36"/>
      <c r="FQ150" s="36"/>
      <c r="FR150" s="36"/>
      <c r="FS150" s="36"/>
      <c r="FT150" s="36"/>
      <c r="FU150" s="36"/>
      <c r="FV150" s="36"/>
      <c r="FW150" s="36"/>
      <c r="FX150" s="36"/>
      <c r="FY150" s="36"/>
      <c r="FZ150" s="36"/>
      <c r="GA150" s="36"/>
      <c r="GB150" s="47"/>
      <c r="GC150" s="36"/>
      <c r="GD150" s="36">
        <f t="shared" si="536"/>
        <v>643965</v>
      </c>
      <c r="GE150" s="36">
        <f t="shared" si="548"/>
        <v>674630</v>
      </c>
      <c r="GF150" s="36">
        <f t="shared" si="559"/>
        <v>711428</v>
      </c>
      <c r="GG150" s="36">
        <f t="shared" si="570"/>
        <v>748226</v>
      </c>
      <c r="GH150" s="36">
        <f t="shared" si="581"/>
        <v>785024</v>
      </c>
      <c r="GI150" s="36">
        <f t="shared" si="590"/>
        <v>827955</v>
      </c>
      <c r="GJ150" s="36">
        <f t="shared" si="603"/>
        <v>870886</v>
      </c>
      <c r="GK150" s="36">
        <f t="shared" si="614"/>
        <v>913817</v>
      </c>
      <c r="GL150" s="36">
        <f aca="true" t="shared" si="625" ref="GL150:GL158">$I$149*$DB$149</f>
        <v>962881</v>
      </c>
      <c r="GM150" s="36">
        <f>$I$150*$DB$150</f>
        <v>1011945</v>
      </c>
      <c r="GN150" s="36"/>
      <c r="GO150" s="47"/>
      <c r="GP150" s="36">
        <f>SUM(DC150:GO150)</f>
        <v>187774061</v>
      </c>
      <c r="GQ150" s="38">
        <f>GP150*(1+$E$11)^-16</f>
        <v>86021460.87521602</v>
      </c>
      <c r="GR150" s="38">
        <f t="shared" si="524"/>
        <v>275029648.3105</v>
      </c>
      <c r="GS150" s="52">
        <f t="shared" si="512"/>
        <v>125994250.78028268</v>
      </c>
      <c r="GT150" s="9"/>
    </row>
    <row r="151" spans="1:202" ht="15.75">
      <c r="A151" s="9">
        <v>2012</v>
      </c>
      <c r="B151" s="49">
        <v>2019</v>
      </c>
      <c r="C151" s="31">
        <f aca="true" t="shared" si="626" ref="C151:K151">C36</f>
        <v>486</v>
      </c>
      <c r="D151" s="31">
        <f t="shared" si="626"/>
        <v>167</v>
      </c>
      <c r="E151" s="31">
        <f t="shared" si="626"/>
        <v>2356</v>
      </c>
      <c r="F151" s="31">
        <f t="shared" si="626"/>
        <v>785</v>
      </c>
      <c r="G151" s="31">
        <f t="shared" si="626"/>
        <v>412</v>
      </c>
      <c r="H151" s="31">
        <f t="shared" si="626"/>
        <v>137</v>
      </c>
      <c r="I151" s="31">
        <f t="shared" si="626"/>
        <v>174</v>
      </c>
      <c r="J151" s="84">
        <f t="shared" si="626"/>
        <v>3864</v>
      </c>
      <c r="K151" s="86">
        <f t="shared" si="626"/>
        <v>4517</v>
      </c>
      <c r="L151" s="36">
        <f t="shared" si="526"/>
        <v>2849.9065</v>
      </c>
      <c r="M151" s="36"/>
      <c r="N151" s="36"/>
      <c r="O151" s="36">
        <f t="shared" si="538"/>
        <v>929069.519</v>
      </c>
      <c r="P151" s="36">
        <f t="shared" si="550"/>
        <v>968968.21</v>
      </c>
      <c r="Q151" s="36">
        <f t="shared" si="561"/>
        <v>1014566.714</v>
      </c>
      <c r="R151" s="36">
        <f t="shared" si="572"/>
        <v>1060165.218</v>
      </c>
      <c r="S151" s="36">
        <f t="shared" si="583"/>
        <v>1108613.6285</v>
      </c>
      <c r="T151" s="36">
        <f t="shared" si="592"/>
        <v>1159911.9455</v>
      </c>
      <c r="U151" s="36">
        <f t="shared" si="605"/>
        <v>1214060.169</v>
      </c>
      <c r="V151" s="36">
        <f t="shared" si="616"/>
        <v>1268208.3925</v>
      </c>
      <c r="W151" s="36">
        <f aca="true" t="shared" si="627" ref="W151:W159">$C$150*$L$150</f>
        <v>1325206.5225</v>
      </c>
      <c r="X151" s="36">
        <f>$C$151*$L$151</f>
        <v>1385054.5590000001</v>
      </c>
      <c r="Y151" s="47"/>
      <c r="Z151" s="36"/>
      <c r="AA151" s="36"/>
      <c r="AB151" s="36">
        <f t="shared" si="539"/>
        <v>364788.032</v>
      </c>
      <c r="AC151" s="36">
        <f t="shared" si="551"/>
        <v>376187.658</v>
      </c>
      <c r="AD151" s="36">
        <f t="shared" si="562"/>
        <v>387587.284</v>
      </c>
      <c r="AE151" s="36">
        <f t="shared" si="573"/>
        <v>398986.91000000003</v>
      </c>
      <c r="AF151" s="36">
        <f t="shared" si="584"/>
        <v>410386.536</v>
      </c>
      <c r="AG151" s="36">
        <f t="shared" si="593"/>
        <v>421786.162</v>
      </c>
      <c r="AH151" s="36">
        <f t="shared" si="606"/>
        <v>436035.6945</v>
      </c>
      <c r="AI151" s="36">
        <f t="shared" si="617"/>
        <v>447435.32050000003</v>
      </c>
      <c r="AJ151" s="36">
        <f aca="true" t="shared" si="628" ref="AJ151:AJ159">$D$150*$L$150</f>
        <v>461684.853</v>
      </c>
      <c r="AK151" s="36">
        <f>$D$151*$L$151</f>
        <v>475934.38550000003</v>
      </c>
      <c r="AL151" s="47"/>
      <c r="AM151" s="36"/>
      <c r="AN151" s="36"/>
      <c r="AO151" s="36">
        <f t="shared" si="540"/>
        <v>4254910.4045</v>
      </c>
      <c r="AP151" s="36">
        <f t="shared" si="552"/>
        <v>4477203.1115</v>
      </c>
      <c r="AQ151" s="36">
        <f t="shared" si="563"/>
        <v>4708045.538</v>
      </c>
      <c r="AR151" s="36">
        <f t="shared" si="574"/>
        <v>4953137.497</v>
      </c>
      <c r="AS151" s="36">
        <f t="shared" si="585"/>
        <v>5212478.9885</v>
      </c>
      <c r="AT151" s="36">
        <f t="shared" si="594"/>
        <v>5483220.106</v>
      </c>
      <c r="AU151" s="36">
        <f t="shared" si="607"/>
        <v>5768210.756</v>
      </c>
      <c r="AV151" s="36">
        <f t="shared" si="618"/>
        <v>6067450.9385</v>
      </c>
      <c r="AW151" s="36">
        <f aca="true" t="shared" si="629" ref="AW151:AW159">$E$150*$L$150</f>
        <v>6383790.5600000005</v>
      </c>
      <c r="AX151" s="36">
        <f>$E$151*$L$151</f>
        <v>6714379.714</v>
      </c>
      <c r="AY151" s="47"/>
      <c r="AZ151" s="36"/>
      <c r="BA151" s="36"/>
      <c r="BB151" s="36">
        <f t="shared" si="541"/>
        <v>1419253.437</v>
      </c>
      <c r="BC151" s="36">
        <f t="shared" si="553"/>
        <v>1493351.006</v>
      </c>
      <c r="BD151" s="36">
        <f t="shared" si="564"/>
        <v>1570298.4815</v>
      </c>
      <c r="BE151" s="36">
        <f t="shared" si="575"/>
        <v>1650095.8635</v>
      </c>
      <c r="BF151" s="36">
        <f t="shared" si="586"/>
        <v>1738442.965</v>
      </c>
      <c r="BG151" s="36">
        <f t="shared" si="595"/>
        <v>1826790.0665</v>
      </c>
      <c r="BH151" s="36">
        <f t="shared" si="608"/>
        <v>1923686.8875</v>
      </c>
      <c r="BI151" s="36">
        <f t="shared" si="619"/>
        <v>2023433.615</v>
      </c>
      <c r="BJ151" s="36">
        <f aca="true" t="shared" si="630" ref="BJ151:BJ159">$F$150*$L$150</f>
        <v>2128880.1555</v>
      </c>
      <c r="BK151" s="36">
        <f>$F$151*$L$151</f>
        <v>2237176.6025</v>
      </c>
      <c r="BL151" s="47"/>
      <c r="BM151" s="36"/>
      <c r="BN151" s="36"/>
      <c r="BO151" s="36"/>
      <c r="BP151" s="36"/>
      <c r="BQ151" s="36"/>
      <c r="BR151" s="36"/>
      <c r="BS151" s="36"/>
      <c r="BT151" s="36"/>
      <c r="BU151" s="36"/>
      <c r="BV151" s="36"/>
      <c r="BW151" s="36"/>
      <c r="BX151" s="36"/>
      <c r="BY151" s="47"/>
      <c r="BZ151" s="36"/>
      <c r="CA151" s="36"/>
      <c r="CB151" s="36"/>
      <c r="CC151" s="36"/>
      <c r="CD151" s="36"/>
      <c r="CE151" s="36"/>
      <c r="CF151" s="36"/>
      <c r="CG151" s="36"/>
      <c r="CH151" s="36"/>
      <c r="CI151" s="36"/>
      <c r="CJ151" s="36"/>
      <c r="CK151" s="36"/>
      <c r="CL151" s="47"/>
      <c r="CM151" s="36"/>
      <c r="CN151" s="36"/>
      <c r="CO151" s="36">
        <f t="shared" si="542"/>
        <v>313489.715</v>
      </c>
      <c r="CP151" s="36">
        <f t="shared" si="554"/>
        <v>330589.154</v>
      </c>
      <c r="CQ151" s="36">
        <f t="shared" si="565"/>
        <v>347688.593</v>
      </c>
      <c r="CR151" s="36">
        <f t="shared" si="576"/>
        <v>364788.032</v>
      </c>
      <c r="CS151" s="36">
        <f t="shared" si="587"/>
        <v>384737.3775</v>
      </c>
      <c r="CT151" s="36">
        <f t="shared" si="596"/>
        <v>404686.723</v>
      </c>
      <c r="CU151" s="36">
        <f t="shared" si="609"/>
        <v>424636.0685</v>
      </c>
      <c r="CV151" s="36">
        <f t="shared" si="620"/>
        <v>447435.32050000003</v>
      </c>
      <c r="CW151" s="36">
        <f aca="true" t="shared" si="631" ref="CW151:CW159">$I$150*$L$150</f>
        <v>470234.5725</v>
      </c>
      <c r="CX151" s="36">
        <f>$I$151*$L$151</f>
        <v>495883.731</v>
      </c>
      <c r="CY151" s="36"/>
      <c r="CZ151" s="36">
        <f t="shared" si="511"/>
        <v>91633043.69450001</v>
      </c>
      <c r="DA151" s="38">
        <f>CZ151*(1+$E$10)^-17</f>
        <v>39979193.43961131</v>
      </c>
      <c r="DB151" s="78">
        <f t="shared" si="543"/>
        <v>6133</v>
      </c>
      <c r="DC151" s="36"/>
      <c r="DD151" s="36"/>
      <c r="DE151" s="36">
        <f t="shared" si="544"/>
        <v>1999358</v>
      </c>
      <c r="DF151" s="36">
        <f t="shared" si="555"/>
        <v>2085220</v>
      </c>
      <c r="DG151" s="36">
        <f t="shared" si="566"/>
        <v>2183348</v>
      </c>
      <c r="DH151" s="36">
        <f t="shared" si="577"/>
        <v>2281476</v>
      </c>
      <c r="DI151" s="36">
        <f t="shared" si="597"/>
        <v>2385737</v>
      </c>
      <c r="DJ151" s="36">
        <f t="shared" si="598"/>
        <v>2496131</v>
      </c>
      <c r="DK151" s="36">
        <f t="shared" si="610"/>
        <v>2612658</v>
      </c>
      <c r="DL151" s="36">
        <f t="shared" si="621"/>
        <v>2729185</v>
      </c>
      <c r="DM151" s="36">
        <f aca="true" t="shared" si="632" ref="DM151:DM159">$C$150*$DB$150</f>
        <v>2851845</v>
      </c>
      <c r="DN151" s="36">
        <f>$C$151*$DB$151</f>
        <v>2980638</v>
      </c>
      <c r="DO151" s="47"/>
      <c r="DP151" s="36"/>
      <c r="DQ151" s="36"/>
      <c r="DR151" s="36">
        <f t="shared" si="545"/>
        <v>785024</v>
      </c>
      <c r="DS151" s="36">
        <f t="shared" si="556"/>
        <v>809556</v>
      </c>
      <c r="DT151" s="36">
        <f t="shared" si="567"/>
        <v>834088</v>
      </c>
      <c r="DU151" s="36">
        <f t="shared" si="578"/>
        <v>858620</v>
      </c>
      <c r="DV151" s="36">
        <f t="shared" si="588"/>
        <v>883152</v>
      </c>
      <c r="DW151" s="36">
        <f t="shared" si="599"/>
        <v>907684</v>
      </c>
      <c r="DX151" s="36">
        <f t="shared" si="611"/>
        <v>938349</v>
      </c>
      <c r="DY151" s="36">
        <f t="shared" si="622"/>
        <v>962881</v>
      </c>
      <c r="DZ151" s="36">
        <f aca="true" t="shared" si="633" ref="DZ151:DZ159">$D$150*$DB$150</f>
        <v>993546</v>
      </c>
      <c r="EA151" s="36">
        <f>$D$151*$DB$151</f>
        <v>1024211</v>
      </c>
      <c r="EB151" s="47"/>
      <c r="EC151" s="36"/>
      <c r="ED151" s="36"/>
      <c r="EE151" s="36">
        <f t="shared" si="546"/>
        <v>9156569</v>
      </c>
      <c r="EF151" s="36">
        <f t="shared" si="557"/>
        <v>9634943</v>
      </c>
      <c r="EG151" s="36">
        <f t="shared" si="568"/>
        <v>10131716</v>
      </c>
      <c r="EH151" s="36">
        <f t="shared" si="579"/>
        <v>10659154</v>
      </c>
      <c r="EI151" s="36">
        <f t="shared" si="600"/>
        <v>11217257</v>
      </c>
      <c r="EJ151" s="36">
        <f t="shared" si="601"/>
        <v>11799892</v>
      </c>
      <c r="EK151" s="36">
        <f t="shared" si="612"/>
        <v>12413192</v>
      </c>
      <c r="EL151" s="36">
        <f t="shared" si="623"/>
        <v>13057157</v>
      </c>
      <c r="EM151" s="36">
        <f aca="true" t="shared" si="634" ref="EM151:EM159">$E$150*$DB$150</f>
        <v>13737920</v>
      </c>
      <c r="EN151" s="36">
        <f>$E$151*$DB$151</f>
        <v>14449348</v>
      </c>
      <c r="EO151" s="47"/>
      <c r="EP151" s="36"/>
      <c r="EQ151" s="36"/>
      <c r="ER151" s="36">
        <f t="shared" si="547"/>
        <v>3054234</v>
      </c>
      <c r="ES151" s="36">
        <f t="shared" si="558"/>
        <v>3213692</v>
      </c>
      <c r="ET151" s="36">
        <f t="shared" si="569"/>
        <v>3379283</v>
      </c>
      <c r="EU151" s="36">
        <f t="shared" si="580"/>
        <v>3551007</v>
      </c>
      <c r="EV151" s="36">
        <f t="shared" si="589"/>
        <v>3741130</v>
      </c>
      <c r="EW151" s="36">
        <f t="shared" si="602"/>
        <v>3931253</v>
      </c>
      <c r="EX151" s="36">
        <f t="shared" si="613"/>
        <v>4139775</v>
      </c>
      <c r="EY151" s="36">
        <f t="shared" si="624"/>
        <v>4354430</v>
      </c>
      <c r="EZ151" s="36">
        <f aca="true" t="shared" si="635" ref="EZ151:EZ159">$F$150*$DB$150</f>
        <v>4581351</v>
      </c>
      <c r="FA151" s="36">
        <f>$F$151*$DB$151</f>
        <v>4814405</v>
      </c>
      <c r="FB151" s="47"/>
      <c r="FC151" s="36"/>
      <c r="FD151" s="36"/>
      <c r="FE151" s="36"/>
      <c r="FF151" s="36"/>
      <c r="FG151" s="36"/>
      <c r="FH151" s="36"/>
      <c r="FI151" s="36"/>
      <c r="FJ151" s="36"/>
      <c r="FK151" s="36"/>
      <c r="FL151" s="36"/>
      <c r="FM151" s="36"/>
      <c r="FN151" s="36"/>
      <c r="FO151" s="47"/>
      <c r="FP151" s="36"/>
      <c r="FQ151" s="36"/>
      <c r="FR151" s="36"/>
      <c r="FS151" s="36"/>
      <c r="FT151" s="36"/>
      <c r="FU151" s="36"/>
      <c r="FV151" s="36"/>
      <c r="FW151" s="36"/>
      <c r="FX151" s="36"/>
      <c r="FY151" s="36"/>
      <c r="FZ151" s="36"/>
      <c r="GA151" s="36"/>
      <c r="GB151" s="47"/>
      <c r="GC151" s="36"/>
      <c r="GD151" s="36"/>
      <c r="GE151" s="36">
        <f t="shared" si="548"/>
        <v>674630</v>
      </c>
      <c r="GF151" s="36">
        <f t="shared" si="559"/>
        <v>711428</v>
      </c>
      <c r="GG151" s="36">
        <f t="shared" si="570"/>
        <v>748226</v>
      </c>
      <c r="GH151" s="36">
        <f t="shared" si="581"/>
        <v>785024</v>
      </c>
      <c r="GI151" s="36">
        <f t="shared" si="590"/>
        <v>827955</v>
      </c>
      <c r="GJ151" s="36">
        <f t="shared" si="603"/>
        <v>870886</v>
      </c>
      <c r="GK151" s="36">
        <f t="shared" si="614"/>
        <v>913817</v>
      </c>
      <c r="GL151" s="36">
        <f t="shared" si="625"/>
        <v>962881</v>
      </c>
      <c r="GM151" s="36">
        <f aca="true" t="shared" si="636" ref="GM151:GM159">$I$150*$DB$150</f>
        <v>1011945</v>
      </c>
      <c r="GN151" s="36">
        <f>$I$151*$DB$151</f>
        <v>1067142</v>
      </c>
      <c r="GO151" s="47"/>
      <c r="GP151" s="36">
        <f>SUM(DC151:GO151)</f>
        <v>197194349</v>
      </c>
      <c r="GQ151" s="38">
        <f>GP151*(1+$E$11)^-17</f>
        <v>86035241.28427936</v>
      </c>
      <c r="GR151" s="38">
        <f t="shared" si="524"/>
        <v>288827392.6945</v>
      </c>
      <c r="GS151" s="52">
        <f t="shared" si="512"/>
        <v>126014434.72389066</v>
      </c>
      <c r="GT151" s="9"/>
    </row>
    <row r="152" spans="1:202" ht="18.75">
      <c r="A152" s="9">
        <v>2013</v>
      </c>
      <c r="B152" s="49">
        <v>2020</v>
      </c>
      <c r="C152" s="31">
        <f aca="true" t="shared" si="637" ref="C152:K152">C37</f>
        <v>509</v>
      </c>
      <c r="D152" s="31">
        <f t="shared" si="637"/>
        <v>172</v>
      </c>
      <c r="E152" s="82" t="str">
        <f t="shared" si="637"/>
        <v>a</v>
      </c>
      <c r="F152" s="82" t="str">
        <f t="shared" si="637"/>
        <v>a</v>
      </c>
      <c r="G152" s="82" t="str">
        <f t="shared" si="637"/>
        <v>a</v>
      </c>
      <c r="H152" s="82" t="str">
        <f t="shared" si="637"/>
        <v>a</v>
      </c>
      <c r="I152" s="82" t="str">
        <f t="shared" si="637"/>
        <v>a</v>
      </c>
      <c r="J152" s="82" t="str">
        <f t="shared" si="637"/>
        <v>a</v>
      </c>
      <c r="K152" s="86">
        <f t="shared" si="637"/>
        <v>681</v>
      </c>
      <c r="L152" s="36">
        <f t="shared" si="526"/>
        <v>2849.9065</v>
      </c>
      <c r="M152" s="36"/>
      <c r="N152" s="36"/>
      <c r="O152" s="36"/>
      <c r="P152" s="36">
        <f t="shared" si="550"/>
        <v>968968.21</v>
      </c>
      <c r="Q152" s="36">
        <f t="shared" si="561"/>
        <v>1014566.714</v>
      </c>
      <c r="R152" s="36">
        <f t="shared" si="572"/>
        <v>1060165.218</v>
      </c>
      <c r="S152" s="36">
        <f t="shared" si="583"/>
        <v>1108613.6285</v>
      </c>
      <c r="T152" s="36">
        <f t="shared" si="592"/>
        <v>1159911.9455</v>
      </c>
      <c r="U152" s="36">
        <f t="shared" si="605"/>
        <v>1214060.169</v>
      </c>
      <c r="V152" s="36">
        <f t="shared" si="616"/>
        <v>1268208.3925</v>
      </c>
      <c r="W152" s="36">
        <f t="shared" si="627"/>
        <v>1325206.5225</v>
      </c>
      <c r="X152" s="36">
        <f aca="true" t="shared" si="638" ref="X152:X160">$C$151*$L$151</f>
        <v>1385054.5590000001</v>
      </c>
      <c r="Y152" s="47">
        <f>$C$152*$L$152</f>
        <v>1450602.4085000001</v>
      </c>
      <c r="Z152" s="36"/>
      <c r="AA152" s="36"/>
      <c r="AB152" s="36"/>
      <c r="AC152" s="36">
        <f t="shared" si="551"/>
        <v>376187.658</v>
      </c>
      <c r="AD152" s="36">
        <f t="shared" si="562"/>
        <v>387587.284</v>
      </c>
      <c r="AE152" s="36">
        <f t="shared" si="573"/>
        <v>398986.91000000003</v>
      </c>
      <c r="AF152" s="36">
        <f t="shared" si="584"/>
        <v>410386.536</v>
      </c>
      <c r="AG152" s="36">
        <f t="shared" si="593"/>
        <v>421786.162</v>
      </c>
      <c r="AH152" s="36">
        <f t="shared" si="606"/>
        <v>436035.6945</v>
      </c>
      <c r="AI152" s="36">
        <f t="shared" si="617"/>
        <v>447435.32050000003</v>
      </c>
      <c r="AJ152" s="36">
        <f t="shared" si="628"/>
        <v>461684.853</v>
      </c>
      <c r="AK152" s="36">
        <f aca="true" t="shared" si="639" ref="AK152:AK160">$D$151*$L$151</f>
        <v>475934.38550000003</v>
      </c>
      <c r="AL152" s="47">
        <f>$D$152*$L$152</f>
        <v>490183.918</v>
      </c>
      <c r="AM152" s="36"/>
      <c r="AN152" s="36"/>
      <c r="AO152" s="36"/>
      <c r="AP152" s="36">
        <f t="shared" si="552"/>
        <v>4477203.1115</v>
      </c>
      <c r="AQ152" s="36">
        <f t="shared" si="563"/>
        <v>4708045.538</v>
      </c>
      <c r="AR152" s="36">
        <f t="shared" si="574"/>
        <v>4953137.497</v>
      </c>
      <c r="AS152" s="36">
        <f t="shared" si="585"/>
        <v>5212478.9885</v>
      </c>
      <c r="AT152" s="36">
        <f t="shared" si="594"/>
        <v>5483220.106</v>
      </c>
      <c r="AU152" s="36">
        <f t="shared" si="607"/>
        <v>5768210.756</v>
      </c>
      <c r="AV152" s="36">
        <f t="shared" si="618"/>
        <v>6067450.9385</v>
      </c>
      <c r="AW152" s="36">
        <f t="shared" si="629"/>
        <v>6383790.5600000005</v>
      </c>
      <c r="AX152" s="36">
        <f aca="true" t="shared" si="640" ref="AX152:AX160">$E$151*$L$151</f>
        <v>6714379.714</v>
      </c>
      <c r="AY152" s="47">
        <v>0</v>
      </c>
      <c r="AZ152" s="36"/>
      <c r="BA152" s="36"/>
      <c r="BB152" s="36"/>
      <c r="BC152" s="36">
        <f t="shared" si="553"/>
        <v>1493351.006</v>
      </c>
      <c r="BD152" s="36">
        <f t="shared" si="564"/>
        <v>1570298.4815</v>
      </c>
      <c r="BE152" s="36">
        <f t="shared" si="575"/>
        <v>1650095.8635</v>
      </c>
      <c r="BF152" s="36">
        <f t="shared" si="586"/>
        <v>1738442.965</v>
      </c>
      <c r="BG152" s="36">
        <f t="shared" si="595"/>
        <v>1826790.0665</v>
      </c>
      <c r="BH152" s="36">
        <f t="shared" si="608"/>
        <v>1923686.8875</v>
      </c>
      <c r="BI152" s="36">
        <f t="shared" si="619"/>
        <v>2023433.615</v>
      </c>
      <c r="BJ152" s="36">
        <f t="shared" si="630"/>
        <v>2128880.1555</v>
      </c>
      <c r="BK152" s="36">
        <f aca="true" t="shared" si="641" ref="BK152:BK160">$F$151*$L$151</f>
        <v>2237176.6025</v>
      </c>
      <c r="BL152" s="47">
        <v>0</v>
      </c>
      <c r="BM152" s="36"/>
      <c r="BN152" s="36"/>
      <c r="BO152" s="36"/>
      <c r="BP152" s="36"/>
      <c r="BQ152" s="36"/>
      <c r="BR152" s="36"/>
      <c r="BS152" s="36"/>
      <c r="BT152" s="36"/>
      <c r="BU152" s="36"/>
      <c r="BV152" s="36"/>
      <c r="BW152" s="36"/>
      <c r="BX152" s="36"/>
      <c r="BY152" s="47"/>
      <c r="BZ152" s="36"/>
      <c r="CA152" s="36"/>
      <c r="CB152" s="36"/>
      <c r="CC152" s="36"/>
      <c r="CD152" s="36"/>
      <c r="CE152" s="36"/>
      <c r="CF152" s="36"/>
      <c r="CG152" s="36"/>
      <c r="CH152" s="36"/>
      <c r="CI152" s="36"/>
      <c r="CJ152" s="36"/>
      <c r="CK152" s="36"/>
      <c r="CL152" s="47"/>
      <c r="CM152" s="36"/>
      <c r="CN152" s="36"/>
      <c r="CO152" s="36"/>
      <c r="CP152" s="36">
        <f t="shared" si="554"/>
        <v>330589.154</v>
      </c>
      <c r="CQ152" s="36">
        <f t="shared" si="565"/>
        <v>347688.593</v>
      </c>
      <c r="CR152" s="36">
        <f t="shared" si="576"/>
        <v>364788.032</v>
      </c>
      <c r="CS152" s="36">
        <f t="shared" si="587"/>
        <v>384737.3775</v>
      </c>
      <c r="CT152" s="36">
        <f t="shared" si="596"/>
        <v>404686.723</v>
      </c>
      <c r="CU152" s="36">
        <f t="shared" si="609"/>
        <v>424636.0685</v>
      </c>
      <c r="CV152" s="36">
        <f t="shared" si="620"/>
        <v>447435.32050000003</v>
      </c>
      <c r="CW152" s="36">
        <f t="shared" si="631"/>
        <v>470234.5725</v>
      </c>
      <c r="CX152" s="36">
        <f aca="true" t="shared" si="642" ref="CX152:CX160">$I$151*$L$151</f>
        <v>495883.731</v>
      </c>
      <c r="CY152" s="36">
        <v>0</v>
      </c>
      <c r="CZ152" s="36">
        <f t="shared" si="511"/>
        <v>86292318.91350001</v>
      </c>
      <c r="DA152" s="38">
        <f>CZ152*(1+$E$10)^-18</f>
        <v>35856240.86497123</v>
      </c>
      <c r="DB152" s="78">
        <f t="shared" si="543"/>
        <v>6133</v>
      </c>
      <c r="DC152" s="36"/>
      <c r="DD152" s="36"/>
      <c r="DE152" s="36"/>
      <c r="DF152" s="36">
        <f t="shared" si="555"/>
        <v>2085220</v>
      </c>
      <c r="DG152" s="36">
        <f t="shared" si="566"/>
        <v>2183348</v>
      </c>
      <c r="DH152" s="36">
        <f t="shared" si="577"/>
        <v>2281476</v>
      </c>
      <c r="DI152" s="36">
        <f t="shared" si="597"/>
        <v>2385737</v>
      </c>
      <c r="DJ152" s="36">
        <f t="shared" si="598"/>
        <v>2496131</v>
      </c>
      <c r="DK152" s="36">
        <f t="shared" si="610"/>
        <v>2612658</v>
      </c>
      <c r="DL152" s="36">
        <f t="shared" si="621"/>
        <v>2729185</v>
      </c>
      <c r="DM152" s="36">
        <f t="shared" si="632"/>
        <v>2851845</v>
      </c>
      <c r="DN152" s="36">
        <f aca="true" t="shared" si="643" ref="DN152:DN160">$C$151*$DB$151</f>
        <v>2980638</v>
      </c>
      <c r="DO152" s="47">
        <f>$C$152*$DB$152</f>
        <v>3121697</v>
      </c>
      <c r="DP152" s="36"/>
      <c r="DQ152" s="36"/>
      <c r="DR152" s="36"/>
      <c r="DS152" s="36">
        <f t="shared" si="556"/>
        <v>809556</v>
      </c>
      <c r="DT152" s="36">
        <f t="shared" si="567"/>
        <v>834088</v>
      </c>
      <c r="DU152" s="36">
        <f t="shared" si="578"/>
        <v>858620</v>
      </c>
      <c r="DV152" s="36">
        <f t="shared" si="588"/>
        <v>883152</v>
      </c>
      <c r="DW152" s="36">
        <f t="shared" si="599"/>
        <v>907684</v>
      </c>
      <c r="DX152" s="36">
        <f t="shared" si="611"/>
        <v>938349</v>
      </c>
      <c r="DY152" s="36">
        <f t="shared" si="622"/>
        <v>962881</v>
      </c>
      <c r="DZ152" s="36">
        <f t="shared" si="633"/>
        <v>993546</v>
      </c>
      <c r="EA152" s="36">
        <f aca="true" t="shared" si="644" ref="EA152:EA160">$D$151*$DB$151</f>
        <v>1024211</v>
      </c>
      <c r="EB152" s="47">
        <f>$D$152*$DB$152</f>
        <v>1054876</v>
      </c>
      <c r="EC152" s="36"/>
      <c r="ED152" s="36"/>
      <c r="EE152" s="36"/>
      <c r="EF152" s="36">
        <f t="shared" si="557"/>
        <v>9634943</v>
      </c>
      <c r="EG152" s="36">
        <f t="shared" si="568"/>
        <v>10131716</v>
      </c>
      <c r="EH152" s="36">
        <f t="shared" si="579"/>
        <v>10659154</v>
      </c>
      <c r="EI152" s="36">
        <f t="shared" si="600"/>
        <v>11217257</v>
      </c>
      <c r="EJ152" s="36">
        <f t="shared" si="601"/>
        <v>11799892</v>
      </c>
      <c r="EK152" s="36">
        <f t="shared" si="612"/>
        <v>12413192</v>
      </c>
      <c r="EL152" s="36">
        <f t="shared" si="623"/>
        <v>13057157</v>
      </c>
      <c r="EM152" s="36">
        <f t="shared" si="634"/>
        <v>13737920</v>
      </c>
      <c r="EN152" s="36">
        <f aca="true" t="shared" si="645" ref="EN152:EN160">$E$151*$DB$151</f>
        <v>14449348</v>
      </c>
      <c r="EO152" s="47">
        <v>0</v>
      </c>
      <c r="EP152" s="9"/>
      <c r="EQ152" s="36"/>
      <c r="ER152" s="36"/>
      <c r="ES152" s="36">
        <f t="shared" si="558"/>
        <v>3213692</v>
      </c>
      <c r="ET152" s="36">
        <f t="shared" si="569"/>
        <v>3379283</v>
      </c>
      <c r="EU152" s="36">
        <f t="shared" si="580"/>
        <v>3551007</v>
      </c>
      <c r="EV152" s="36">
        <f t="shared" si="589"/>
        <v>3741130</v>
      </c>
      <c r="EW152" s="36">
        <f t="shared" si="602"/>
        <v>3931253</v>
      </c>
      <c r="EX152" s="36">
        <f t="shared" si="613"/>
        <v>4139775</v>
      </c>
      <c r="EY152" s="36">
        <f t="shared" si="624"/>
        <v>4354430</v>
      </c>
      <c r="EZ152" s="36">
        <f t="shared" si="635"/>
        <v>4581351</v>
      </c>
      <c r="FA152" s="36">
        <f aca="true" t="shared" si="646" ref="FA152:FA160">$F$151*$DB$151</f>
        <v>4814405</v>
      </c>
      <c r="FB152" s="47">
        <v>0</v>
      </c>
      <c r="FC152" s="36"/>
      <c r="FD152" s="36"/>
      <c r="FE152" s="36"/>
      <c r="FF152" s="36"/>
      <c r="FG152" s="36"/>
      <c r="FH152" s="36"/>
      <c r="FI152" s="36"/>
      <c r="FJ152" s="36"/>
      <c r="FK152" s="36"/>
      <c r="FL152" s="36"/>
      <c r="FM152" s="36"/>
      <c r="FN152" s="36"/>
      <c r="FO152" s="47"/>
      <c r="FP152" s="36"/>
      <c r="FQ152" s="36"/>
      <c r="FR152" s="36"/>
      <c r="FS152" s="36"/>
      <c r="FT152" s="36"/>
      <c r="FU152" s="36"/>
      <c r="FV152" s="36"/>
      <c r="FW152" s="36"/>
      <c r="FX152" s="36"/>
      <c r="FY152" s="36"/>
      <c r="FZ152" s="36"/>
      <c r="GA152" s="36"/>
      <c r="GB152" s="47"/>
      <c r="GC152" s="36"/>
      <c r="GD152" s="36"/>
      <c r="GE152" s="36"/>
      <c r="GF152" s="36">
        <f t="shared" si="559"/>
        <v>711428</v>
      </c>
      <c r="GG152" s="36">
        <f t="shared" si="570"/>
        <v>748226</v>
      </c>
      <c r="GH152" s="36">
        <f t="shared" si="581"/>
        <v>785024</v>
      </c>
      <c r="GI152" s="36">
        <f t="shared" si="590"/>
        <v>827955</v>
      </c>
      <c r="GJ152" s="36">
        <f t="shared" si="603"/>
        <v>870886</v>
      </c>
      <c r="GK152" s="36">
        <f t="shared" si="614"/>
        <v>913817</v>
      </c>
      <c r="GL152" s="36">
        <f t="shared" si="625"/>
        <v>962881</v>
      </c>
      <c r="GM152" s="36">
        <f t="shared" si="636"/>
        <v>1011945</v>
      </c>
      <c r="GN152" s="36">
        <f aca="true" t="shared" si="647" ref="GN152:GN160">$I$151*$DB$151</f>
        <v>1067142</v>
      </c>
      <c r="GO152" s="47">
        <v>0</v>
      </c>
      <c r="GP152" s="36">
        <f>SUM(DC152:GO152)</f>
        <v>185701107</v>
      </c>
      <c r="GQ152" s="38">
        <f>GP152*(1+$E$11)^-18</f>
        <v>77162645.59025656</v>
      </c>
      <c r="GR152" s="38">
        <f t="shared" si="524"/>
        <v>271993425.9135</v>
      </c>
      <c r="GS152" s="52">
        <f t="shared" si="512"/>
        <v>113018886.45522779</v>
      </c>
      <c r="GT152" s="36"/>
    </row>
    <row r="153" spans="1:202" ht="18.75">
      <c r="A153" s="9"/>
      <c r="B153" s="49">
        <v>2021</v>
      </c>
      <c r="C153" s="79" t="str">
        <f aca="true" t="shared" si="648" ref="C153:K153">C38</f>
        <v>a</v>
      </c>
      <c r="D153" s="79" t="str">
        <f t="shared" si="648"/>
        <v>a</v>
      </c>
      <c r="E153" s="79" t="str">
        <f t="shared" si="648"/>
        <v>a</v>
      </c>
      <c r="F153" s="79" t="str">
        <f t="shared" si="648"/>
        <v>a</v>
      </c>
      <c r="G153" s="79" t="str">
        <f t="shared" si="648"/>
        <v>a</v>
      </c>
      <c r="H153" s="79" t="str">
        <f t="shared" si="648"/>
        <v>a</v>
      </c>
      <c r="I153" s="79" t="str">
        <f t="shared" si="648"/>
        <v>a</v>
      </c>
      <c r="J153" s="79" t="str">
        <f t="shared" si="648"/>
        <v>a</v>
      </c>
      <c r="K153" s="80" t="str">
        <f t="shared" si="648"/>
        <v>a</v>
      </c>
      <c r="L153" s="36"/>
      <c r="M153" s="36"/>
      <c r="N153" s="36"/>
      <c r="O153" s="36"/>
      <c r="P153" s="36"/>
      <c r="Q153" s="36">
        <f t="shared" si="561"/>
        <v>1014566.714</v>
      </c>
      <c r="R153" s="36">
        <f t="shared" si="572"/>
        <v>1060165.218</v>
      </c>
      <c r="S153" s="36">
        <f t="shared" si="583"/>
        <v>1108613.6285</v>
      </c>
      <c r="T153" s="36">
        <f t="shared" si="592"/>
        <v>1159911.9455</v>
      </c>
      <c r="U153" s="36">
        <f t="shared" si="605"/>
        <v>1214060.169</v>
      </c>
      <c r="V153" s="36">
        <f t="shared" si="616"/>
        <v>1268208.3925</v>
      </c>
      <c r="W153" s="36">
        <f t="shared" si="627"/>
        <v>1325206.5225</v>
      </c>
      <c r="X153" s="36">
        <f t="shared" si="638"/>
        <v>1385054.5590000001</v>
      </c>
      <c r="Y153" s="47">
        <f aca="true" t="shared" si="649" ref="Y153:Y161">$C$152*$L$152</f>
        <v>1450602.4085000001</v>
      </c>
      <c r="Z153" s="36"/>
      <c r="AA153" s="36"/>
      <c r="AB153" s="36"/>
      <c r="AC153" s="36"/>
      <c r="AD153" s="36">
        <f t="shared" si="562"/>
        <v>387587.284</v>
      </c>
      <c r="AE153" s="36">
        <f t="shared" si="573"/>
        <v>398986.91000000003</v>
      </c>
      <c r="AF153" s="36">
        <f t="shared" si="584"/>
        <v>410386.536</v>
      </c>
      <c r="AG153" s="36">
        <f t="shared" si="593"/>
        <v>421786.162</v>
      </c>
      <c r="AH153" s="36">
        <f t="shared" si="606"/>
        <v>436035.6945</v>
      </c>
      <c r="AI153" s="36">
        <f t="shared" si="617"/>
        <v>447435.32050000003</v>
      </c>
      <c r="AJ153" s="36">
        <f t="shared" si="628"/>
        <v>461684.853</v>
      </c>
      <c r="AK153" s="36">
        <f t="shared" si="639"/>
        <v>475934.38550000003</v>
      </c>
      <c r="AL153" s="47">
        <f aca="true" t="shared" si="650" ref="AL153:AL161">$D$152*$L$152</f>
        <v>490183.918</v>
      </c>
      <c r="AM153" s="36"/>
      <c r="AN153" s="36"/>
      <c r="AO153" s="36"/>
      <c r="AP153" s="36"/>
      <c r="AQ153" s="36">
        <f t="shared" si="563"/>
        <v>4708045.538</v>
      </c>
      <c r="AR153" s="36">
        <f t="shared" si="574"/>
        <v>4953137.497</v>
      </c>
      <c r="AS153" s="36">
        <f t="shared" si="585"/>
        <v>5212478.9885</v>
      </c>
      <c r="AT153" s="36">
        <f t="shared" si="594"/>
        <v>5483220.106</v>
      </c>
      <c r="AU153" s="36">
        <f t="shared" si="607"/>
        <v>5768210.756</v>
      </c>
      <c r="AV153" s="36">
        <f t="shared" si="618"/>
        <v>6067450.9385</v>
      </c>
      <c r="AW153" s="36">
        <f t="shared" si="629"/>
        <v>6383790.5600000005</v>
      </c>
      <c r="AX153" s="36">
        <f t="shared" si="640"/>
        <v>6714379.714</v>
      </c>
      <c r="AY153" s="47">
        <v>0</v>
      </c>
      <c r="AZ153" s="36"/>
      <c r="BA153" s="36"/>
      <c r="BB153" s="36"/>
      <c r="BC153" s="36"/>
      <c r="BD153" s="36">
        <f t="shared" si="564"/>
        <v>1570298.4815</v>
      </c>
      <c r="BE153" s="36">
        <f t="shared" si="575"/>
        <v>1650095.8635</v>
      </c>
      <c r="BF153" s="36">
        <f t="shared" si="586"/>
        <v>1738442.965</v>
      </c>
      <c r="BG153" s="36">
        <f t="shared" si="595"/>
        <v>1826790.0665</v>
      </c>
      <c r="BH153" s="36">
        <f t="shared" si="608"/>
        <v>1923686.8875</v>
      </c>
      <c r="BI153" s="36">
        <f t="shared" si="619"/>
        <v>2023433.615</v>
      </c>
      <c r="BJ153" s="36">
        <f t="shared" si="630"/>
        <v>2128880.1555</v>
      </c>
      <c r="BK153" s="36">
        <f t="shared" si="641"/>
        <v>2237176.6025</v>
      </c>
      <c r="BL153" s="47">
        <v>0</v>
      </c>
      <c r="BM153" s="36"/>
      <c r="BN153" s="36"/>
      <c r="BO153" s="36"/>
      <c r="BP153" s="36"/>
      <c r="BQ153" s="36"/>
      <c r="BR153" s="36"/>
      <c r="BS153" s="36"/>
      <c r="BT153" s="36"/>
      <c r="BU153" s="36"/>
      <c r="BV153" s="36"/>
      <c r="BW153" s="36"/>
      <c r="BX153" s="36"/>
      <c r="BY153" s="47"/>
      <c r="BZ153" s="36"/>
      <c r="CA153" s="36"/>
      <c r="CB153" s="36"/>
      <c r="CC153" s="36"/>
      <c r="CD153" s="36"/>
      <c r="CE153" s="36"/>
      <c r="CF153" s="36"/>
      <c r="CG153" s="36"/>
      <c r="CH153" s="36"/>
      <c r="CI153" s="36"/>
      <c r="CJ153" s="36"/>
      <c r="CK153" s="36"/>
      <c r="CL153" s="47"/>
      <c r="CM153" s="36"/>
      <c r="CN153" s="36"/>
      <c r="CO153" s="36"/>
      <c r="CP153" s="36"/>
      <c r="CQ153" s="36">
        <f t="shared" si="565"/>
        <v>347688.593</v>
      </c>
      <c r="CR153" s="36">
        <f t="shared" si="576"/>
        <v>364788.032</v>
      </c>
      <c r="CS153" s="36">
        <f t="shared" si="587"/>
        <v>384737.3775</v>
      </c>
      <c r="CT153" s="36">
        <f t="shared" si="596"/>
        <v>404686.723</v>
      </c>
      <c r="CU153" s="36">
        <f t="shared" si="609"/>
        <v>424636.0685</v>
      </c>
      <c r="CV153" s="36">
        <f t="shared" si="620"/>
        <v>447435.32050000003</v>
      </c>
      <c r="CW153" s="36">
        <f t="shared" si="631"/>
        <v>470234.5725</v>
      </c>
      <c r="CX153" s="36">
        <f t="shared" si="642"/>
        <v>495883.731</v>
      </c>
      <c r="CY153" s="36">
        <v>0</v>
      </c>
      <c r="CZ153" s="36">
        <f t="shared" si="511"/>
        <v>78646019.77400002</v>
      </c>
      <c r="DA153" s="38">
        <f>CZ153*(1+$E$10)^-19</f>
        <v>31122900.608774778</v>
      </c>
      <c r="DB153" s="78"/>
      <c r="DC153" s="36"/>
      <c r="DD153" s="36"/>
      <c r="DE153" s="36"/>
      <c r="DF153" s="36"/>
      <c r="DG153" s="36">
        <f t="shared" si="566"/>
        <v>2183348</v>
      </c>
      <c r="DH153" s="36">
        <f t="shared" si="577"/>
        <v>2281476</v>
      </c>
      <c r="DI153" s="36">
        <f t="shared" si="597"/>
        <v>2385737</v>
      </c>
      <c r="DJ153" s="36">
        <f t="shared" si="598"/>
        <v>2496131</v>
      </c>
      <c r="DK153" s="36">
        <f t="shared" si="610"/>
        <v>2612658</v>
      </c>
      <c r="DL153" s="36">
        <f t="shared" si="621"/>
        <v>2729185</v>
      </c>
      <c r="DM153" s="36">
        <f t="shared" si="632"/>
        <v>2851845</v>
      </c>
      <c r="DN153" s="36">
        <f t="shared" si="643"/>
        <v>2980638</v>
      </c>
      <c r="DO153" s="47">
        <f aca="true" t="shared" si="651" ref="DO153:DO161">$C$152*$DB$152</f>
        <v>3121697</v>
      </c>
      <c r="DP153" s="36"/>
      <c r="DQ153" s="36"/>
      <c r="DR153" s="36"/>
      <c r="DS153" s="36"/>
      <c r="DT153" s="36">
        <f t="shared" si="567"/>
        <v>834088</v>
      </c>
      <c r="DU153" s="36">
        <f t="shared" si="578"/>
        <v>858620</v>
      </c>
      <c r="DV153" s="36">
        <f t="shared" si="588"/>
        <v>883152</v>
      </c>
      <c r="DW153" s="36">
        <f t="shared" si="599"/>
        <v>907684</v>
      </c>
      <c r="DX153" s="36">
        <f t="shared" si="611"/>
        <v>938349</v>
      </c>
      <c r="DY153" s="36">
        <f t="shared" si="622"/>
        <v>962881</v>
      </c>
      <c r="DZ153" s="36">
        <f t="shared" si="633"/>
        <v>993546</v>
      </c>
      <c r="EA153" s="36">
        <f t="shared" si="644"/>
        <v>1024211</v>
      </c>
      <c r="EB153" s="47">
        <f aca="true" t="shared" si="652" ref="EB153:EB161">$D$152*$DB$152</f>
        <v>1054876</v>
      </c>
      <c r="EC153" s="36"/>
      <c r="ED153" s="36"/>
      <c r="EE153" s="36"/>
      <c r="EF153" s="36"/>
      <c r="EG153" s="36">
        <f t="shared" si="568"/>
        <v>10131716</v>
      </c>
      <c r="EH153" s="36">
        <f t="shared" si="579"/>
        <v>10659154</v>
      </c>
      <c r="EI153" s="36">
        <f t="shared" si="600"/>
        <v>11217257</v>
      </c>
      <c r="EJ153" s="36">
        <f t="shared" si="601"/>
        <v>11799892</v>
      </c>
      <c r="EK153" s="36">
        <f t="shared" si="612"/>
        <v>12413192</v>
      </c>
      <c r="EL153" s="36">
        <f t="shared" si="623"/>
        <v>13057157</v>
      </c>
      <c r="EM153" s="36">
        <f t="shared" si="634"/>
        <v>13737920</v>
      </c>
      <c r="EN153" s="36">
        <f t="shared" si="645"/>
        <v>14449348</v>
      </c>
      <c r="EO153" s="47">
        <v>0</v>
      </c>
      <c r="EP153" s="9"/>
      <c r="EQ153" s="36"/>
      <c r="ER153" s="36"/>
      <c r="ES153" s="36"/>
      <c r="ET153" s="36">
        <f t="shared" si="569"/>
        <v>3379283</v>
      </c>
      <c r="EU153" s="36">
        <f t="shared" si="580"/>
        <v>3551007</v>
      </c>
      <c r="EV153" s="36">
        <f t="shared" si="589"/>
        <v>3741130</v>
      </c>
      <c r="EW153" s="36">
        <f t="shared" si="602"/>
        <v>3931253</v>
      </c>
      <c r="EX153" s="36">
        <f t="shared" si="613"/>
        <v>4139775</v>
      </c>
      <c r="EY153" s="36">
        <f t="shared" si="624"/>
        <v>4354430</v>
      </c>
      <c r="EZ153" s="36">
        <f t="shared" si="635"/>
        <v>4581351</v>
      </c>
      <c r="FA153" s="36">
        <f t="shared" si="646"/>
        <v>4814405</v>
      </c>
      <c r="FB153" s="47">
        <v>0</v>
      </c>
      <c r="FC153" s="36"/>
      <c r="FD153" s="36"/>
      <c r="FE153" s="36"/>
      <c r="FF153" s="36"/>
      <c r="FG153" s="36"/>
      <c r="FH153" s="36"/>
      <c r="FI153" s="36"/>
      <c r="FJ153" s="36"/>
      <c r="FK153" s="36"/>
      <c r="FL153" s="36"/>
      <c r="FM153" s="36"/>
      <c r="FN153" s="36"/>
      <c r="FO153" s="47"/>
      <c r="FP153" s="36"/>
      <c r="FQ153" s="36"/>
      <c r="FR153" s="36"/>
      <c r="FS153" s="36"/>
      <c r="FT153" s="36"/>
      <c r="FU153" s="36"/>
      <c r="FV153" s="36"/>
      <c r="FW153" s="36"/>
      <c r="FX153" s="36"/>
      <c r="FY153" s="36"/>
      <c r="FZ153" s="36"/>
      <c r="GA153" s="36"/>
      <c r="GB153" s="47"/>
      <c r="GC153" s="36"/>
      <c r="GD153" s="36"/>
      <c r="GE153" s="36"/>
      <c r="GF153" s="36"/>
      <c r="GG153" s="36">
        <f t="shared" si="570"/>
        <v>748226</v>
      </c>
      <c r="GH153" s="36">
        <f t="shared" si="581"/>
        <v>785024</v>
      </c>
      <c r="GI153" s="36">
        <f t="shared" si="590"/>
        <v>827955</v>
      </c>
      <c r="GJ153" s="36">
        <f t="shared" si="603"/>
        <v>870886</v>
      </c>
      <c r="GK153" s="36">
        <f t="shared" si="614"/>
        <v>913817</v>
      </c>
      <c r="GL153" s="36">
        <f t="shared" si="625"/>
        <v>962881</v>
      </c>
      <c r="GM153" s="36">
        <f t="shared" si="636"/>
        <v>1011945</v>
      </c>
      <c r="GN153" s="36">
        <f t="shared" si="647"/>
        <v>1067142</v>
      </c>
      <c r="GO153" s="47">
        <v>0</v>
      </c>
      <c r="GP153" s="36">
        <f>SUM(DC153:GO153)</f>
        <v>169246268</v>
      </c>
      <c r="GQ153" s="38">
        <f>GP153*(1+$E$11)^-19</f>
        <v>66976495.34594053</v>
      </c>
      <c r="GR153" s="38">
        <f t="shared" si="524"/>
        <v>247892287.77400002</v>
      </c>
      <c r="GS153" s="52">
        <f t="shared" si="512"/>
        <v>98099395.95471531</v>
      </c>
      <c r="GT153" s="9"/>
    </row>
    <row r="154" spans="1:202" ht="18.75">
      <c r="A154" s="9"/>
      <c r="B154" s="49">
        <v>2022</v>
      </c>
      <c r="C154" s="79" t="str">
        <f aca="true" t="shared" si="653" ref="C154:K154">C39</f>
        <v>a</v>
      </c>
      <c r="D154" s="79" t="str">
        <f t="shared" si="653"/>
        <v>a</v>
      </c>
      <c r="E154" s="79" t="str">
        <f t="shared" si="653"/>
        <v>a</v>
      </c>
      <c r="F154" s="79" t="str">
        <f t="shared" si="653"/>
        <v>a</v>
      </c>
      <c r="G154" s="79" t="str">
        <f t="shared" si="653"/>
        <v>a</v>
      </c>
      <c r="H154" s="79" t="str">
        <f t="shared" si="653"/>
        <v>a</v>
      </c>
      <c r="I154" s="79" t="str">
        <f t="shared" si="653"/>
        <v>a</v>
      </c>
      <c r="J154" s="79" t="str">
        <f t="shared" si="653"/>
        <v>a</v>
      </c>
      <c r="K154" s="80" t="str">
        <f t="shared" si="653"/>
        <v>a</v>
      </c>
      <c r="L154" s="36"/>
      <c r="M154" s="36"/>
      <c r="N154" s="36"/>
      <c r="O154" s="36"/>
      <c r="P154" s="36"/>
      <c r="Q154" s="36"/>
      <c r="R154" s="36">
        <f t="shared" si="572"/>
        <v>1060165.218</v>
      </c>
      <c r="S154" s="36">
        <f t="shared" si="583"/>
        <v>1108613.6285</v>
      </c>
      <c r="T154" s="36">
        <f t="shared" si="592"/>
        <v>1159911.9455</v>
      </c>
      <c r="U154" s="36">
        <f t="shared" si="605"/>
        <v>1214060.169</v>
      </c>
      <c r="V154" s="36">
        <f t="shared" si="616"/>
        <v>1268208.3925</v>
      </c>
      <c r="W154" s="36">
        <f t="shared" si="627"/>
        <v>1325206.5225</v>
      </c>
      <c r="X154" s="36">
        <f t="shared" si="638"/>
        <v>1385054.5590000001</v>
      </c>
      <c r="Y154" s="47">
        <f t="shared" si="649"/>
        <v>1450602.4085000001</v>
      </c>
      <c r="Z154" s="36"/>
      <c r="AA154" s="36"/>
      <c r="AB154" s="36"/>
      <c r="AC154" s="36"/>
      <c r="AD154" s="36"/>
      <c r="AE154" s="36">
        <f t="shared" si="573"/>
        <v>398986.91000000003</v>
      </c>
      <c r="AF154" s="36">
        <f t="shared" si="584"/>
        <v>410386.536</v>
      </c>
      <c r="AG154" s="36">
        <f t="shared" si="593"/>
        <v>421786.162</v>
      </c>
      <c r="AH154" s="36">
        <f t="shared" si="606"/>
        <v>436035.6945</v>
      </c>
      <c r="AI154" s="36">
        <f t="shared" si="617"/>
        <v>447435.32050000003</v>
      </c>
      <c r="AJ154" s="36">
        <f t="shared" si="628"/>
        <v>461684.853</v>
      </c>
      <c r="AK154" s="36">
        <f t="shared" si="639"/>
        <v>475934.38550000003</v>
      </c>
      <c r="AL154" s="47">
        <f t="shared" si="650"/>
        <v>490183.918</v>
      </c>
      <c r="AM154" s="36"/>
      <c r="AN154" s="36"/>
      <c r="AO154" s="36"/>
      <c r="AP154" s="36"/>
      <c r="AQ154" s="36"/>
      <c r="AR154" s="36">
        <f t="shared" si="574"/>
        <v>4953137.497</v>
      </c>
      <c r="AS154" s="36">
        <f t="shared" si="585"/>
        <v>5212478.9885</v>
      </c>
      <c r="AT154" s="36">
        <f t="shared" si="594"/>
        <v>5483220.106</v>
      </c>
      <c r="AU154" s="36">
        <f t="shared" si="607"/>
        <v>5768210.756</v>
      </c>
      <c r="AV154" s="36">
        <f t="shared" si="618"/>
        <v>6067450.9385</v>
      </c>
      <c r="AW154" s="36">
        <f t="shared" si="629"/>
        <v>6383790.5600000005</v>
      </c>
      <c r="AX154" s="36">
        <f t="shared" si="640"/>
        <v>6714379.714</v>
      </c>
      <c r="AY154" s="47">
        <v>0</v>
      </c>
      <c r="AZ154" s="36"/>
      <c r="BA154" s="36"/>
      <c r="BB154" s="36"/>
      <c r="BC154" s="36"/>
      <c r="BD154" s="36"/>
      <c r="BE154" s="36">
        <f t="shared" si="575"/>
        <v>1650095.8635</v>
      </c>
      <c r="BF154" s="36">
        <f t="shared" si="586"/>
        <v>1738442.965</v>
      </c>
      <c r="BG154" s="36">
        <f t="shared" si="595"/>
        <v>1826790.0665</v>
      </c>
      <c r="BH154" s="36">
        <f t="shared" si="608"/>
        <v>1923686.8875</v>
      </c>
      <c r="BI154" s="36">
        <f t="shared" si="619"/>
        <v>2023433.615</v>
      </c>
      <c r="BJ154" s="36">
        <f t="shared" si="630"/>
        <v>2128880.1555</v>
      </c>
      <c r="BK154" s="36">
        <f t="shared" si="641"/>
        <v>2237176.6025</v>
      </c>
      <c r="BL154" s="47">
        <v>0</v>
      </c>
      <c r="BM154" s="36"/>
      <c r="BN154" s="36"/>
      <c r="BO154" s="36"/>
      <c r="BP154" s="36"/>
      <c r="BQ154" s="36"/>
      <c r="BR154" s="36"/>
      <c r="BS154" s="36"/>
      <c r="BT154" s="36"/>
      <c r="BU154" s="36"/>
      <c r="BV154" s="36"/>
      <c r="BW154" s="36"/>
      <c r="BX154" s="36"/>
      <c r="BY154" s="47"/>
      <c r="BZ154" s="36"/>
      <c r="CA154" s="36"/>
      <c r="CB154" s="36"/>
      <c r="CC154" s="36"/>
      <c r="CD154" s="36"/>
      <c r="CE154" s="36"/>
      <c r="CF154" s="36"/>
      <c r="CG154" s="36"/>
      <c r="CH154" s="36"/>
      <c r="CI154" s="36"/>
      <c r="CJ154" s="36"/>
      <c r="CK154" s="36"/>
      <c r="CL154" s="47"/>
      <c r="CM154" s="36"/>
      <c r="CN154" s="36"/>
      <c r="CO154" s="36"/>
      <c r="CP154" s="36"/>
      <c r="CQ154" s="36"/>
      <c r="CR154" s="36">
        <f t="shared" si="576"/>
        <v>364788.032</v>
      </c>
      <c r="CS154" s="36">
        <f t="shared" si="587"/>
        <v>384737.3775</v>
      </c>
      <c r="CT154" s="36">
        <f t="shared" si="596"/>
        <v>404686.723</v>
      </c>
      <c r="CU154" s="36">
        <f t="shared" si="609"/>
        <v>424636.0685</v>
      </c>
      <c r="CV154" s="36">
        <f t="shared" si="620"/>
        <v>447435.32050000003</v>
      </c>
      <c r="CW154" s="36">
        <f t="shared" si="631"/>
        <v>470234.5725</v>
      </c>
      <c r="CX154" s="36">
        <f t="shared" si="642"/>
        <v>495883.731</v>
      </c>
      <c r="CY154" s="36">
        <v>0</v>
      </c>
      <c r="CZ154" s="36">
        <f t="shared" si="511"/>
        <v>70617833.16350004</v>
      </c>
      <c r="DA154" s="38">
        <f>CZ154*(1+$E$10)^-20</f>
        <v>26615118.622603364</v>
      </c>
      <c r="DB154" s="78"/>
      <c r="DC154" s="36"/>
      <c r="DD154" s="36"/>
      <c r="DE154" s="36"/>
      <c r="DF154" s="36"/>
      <c r="DG154" s="36"/>
      <c r="DH154" s="36">
        <f t="shared" si="577"/>
        <v>2281476</v>
      </c>
      <c r="DI154" s="36">
        <f t="shared" si="597"/>
        <v>2385737</v>
      </c>
      <c r="DJ154" s="36">
        <f t="shared" si="598"/>
        <v>2496131</v>
      </c>
      <c r="DK154" s="36">
        <f t="shared" si="610"/>
        <v>2612658</v>
      </c>
      <c r="DL154" s="36">
        <f t="shared" si="621"/>
        <v>2729185</v>
      </c>
      <c r="DM154" s="36">
        <f t="shared" si="632"/>
        <v>2851845</v>
      </c>
      <c r="DN154" s="36">
        <f t="shared" si="643"/>
        <v>2980638</v>
      </c>
      <c r="DO154" s="47">
        <f t="shared" si="651"/>
        <v>3121697</v>
      </c>
      <c r="DP154" s="36"/>
      <c r="DQ154" s="36"/>
      <c r="DR154" s="36"/>
      <c r="DS154" s="36"/>
      <c r="DT154" s="36"/>
      <c r="DU154" s="36">
        <f t="shared" si="578"/>
        <v>858620</v>
      </c>
      <c r="DV154" s="36">
        <f t="shared" si="588"/>
        <v>883152</v>
      </c>
      <c r="DW154" s="36">
        <f t="shared" si="599"/>
        <v>907684</v>
      </c>
      <c r="DX154" s="36">
        <f t="shared" si="611"/>
        <v>938349</v>
      </c>
      <c r="DY154" s="36">
        <f t="shared" si="622"/>
        <v>962881</v>
      </c>
      <c r="DZ154" s="36">
        <f t="shared" si="633"/>
        <v>993546</v>
      </c>
      <c r="EA154" s="36">
        <f t="shared" si="644"/>
        <v>1024211</v>
      </c>
      <c r="EB154" s="47">
        <f t="shared" si="652"/>
        <v>1054876</v>
      </c>
      <c r="EC154" s="36"/>
      <c r="ED154" s="36"/>
      <c r="EE154" s="36"/>
      <c r="EF154" s="36"/>
      <c r="EG154" s="36"/>
      <c r="EH154" s="36">
        <f t="shared" si="579"/>
        <v>10659154</v>
      </c>
      <c r="EI154" s="36">
        <f t="shared" si="600"/>
        <v>11217257</v>
      </c>
      <c r="EJ154" s="36">
        <f t="shared" si="601"/>
        <v>11799892</v>
      </c>
      <c r="EK154" s="36">
        <f t="shared" si="612"/>
        <v>12413192</v>
      </c>
      <c r="EL154" s="36">
        <f t="shared" si="623"/>
        <v>13057157</v>
      </c>
      <c r="EM154" s="36">
        <f t="shared" si="634"/>
        <v>13737920</v>
      </c>
      <c r="EN154" s="36">
        <f t="shared" si="645"/>
        <v>14449348</v>
      </c>
      <c r="EO154" s="47">
        <v>0</v>
      </c>
      <c r="EP154" s="9"/>
      <c r="EQ154" s="36"/>
      <c r="ER154" s="36"/>
      <c r="ES154" s="36"/>
      <c r="ET154" s="36"/>
      <c r="EU154" s="36">
        <f t="shared" si="580"/>
        <v>3551007</v>
      </c>
      <c r="EV154" s="36">
        <f t="shared" si="589"/>
        <v>3741130</v>
      </c>
      <c r="EW154" s="36">
        <f t="shared" si="602"/>
        <v>3931253</v>
      </c>
      <c r="EX154" s="36">
        <f t="shared" si="613"/>
        <v>4139775</v>
      </c>
      <c r="EY154" s="36">
        <f t="shared" si="624"/>
        <v>4354430</v>
      </c>
      <c r="EZ154" s="36">
        <f t="shared" si="635"/>
        <v>4581351</v>
      </c>
      <c r="FA154" s="36">
        <f t="shared" si="646"/>
        <v>4814405</v>
      </c>
      <c r="FB154" s="47">
        <v>0</v>
      </c>
      <c r="FC154" s="36"/>
      <c r="FD154" s="36"/>
      <c r="FE154" s="36"/>
      <c r="FF154" s="36"/>
      <c r="FG154" s="36"/>
      <c r="FH154" s="36"/>
      <c r="FI154" s="36"/>
      <c r="FJ154" s="36"/>
      <c r="FK154" s="36"/>
      <c r="FL154" s="36"/>
      <c r="FM154" s="36"/>
      <c r="FN154" s="36"/>
      <c r="FO154" s="47"/>
      <c r="FP154" s="36"/>
      <c r="FQ154" s="36"/>
      <c r="FR154" s="36"/>
      <c r="FS154" s="36"/>
      <c r="FT154" s="36"/>
      <c r="FU154" s="36"/>
      <c r="FV154" s="36"/>
      <c r="FW154" s="36"/>
      <c r="FX154" s="36"/>
      <c r="FY154" s="36"/>
      <c r="FZ154" s="36"/>
      <c r="GA154" s="36"/>
      <c r="GB154" s="47"/>
      <c r="GC154" s="36"/>
      <c r="GD154" s="36"/>
      <c r="GE154" s="36"/>
      <c r="GF154" s="36"/>
      <c r="GG154" s="36"/>
      <c r="GH154" s="36">
        <f t="shared" si="581"/>
        <v>785024</v>
      </c>
      <c r="GI154" s="36">
        <f t="shared" si="590"/>
        <v>827955</v>
      </c>
      <c r="GJ154" s="36">
        <f t="shared" si="603"/>
        <v>870886</v>
      </c>
      <c r="GK154" s="36">
        <f t="shared" si="614"/>
        <v>913817</v>
      </c>
      <c r="GL154" s="36">
        <f t="shared" si="625"/>
        <v>962881</v>
      </c>
      <c r="GM154" s="36">
        <f t="shared" si="636"/>
        <v>1011945</v>
      </c>
      <c r="GN154" s="36">
        <f t="shared" si="647"/>
        <v>1067142</v>
      </c>
      <c r="GO154" s="47">
        <v>0</v>
      </c>
      <c r="GP154" s="36">
        <f>SUM(DC154:GO154)</f>
        <v>151969607</v>
      </c>
      <c r="GQ154" s="38">
        <f>GP154*(1+$E$11)^-20</f>
        <v>57275746.59464313</v>
      </c>
      <c r="GR154" s="38">
        <f t="shared" si="524"/>
        <v>222587440.16350004</v>
      </c>
      <c r="GS154" s="52">
        <f t="shared" si="512"/>
        <v>83890865.2172465</v>
      </c>
      <c r="GT154" s="9"/>
    </row>
    <row r="155" spans="1:202" ht="18.75">
      <c r="A155" s="9"/>
      <c r="B155" s="49">
        <v>2023</v>
      </c>
      <c r="C155" s="79" t="str">
        <f aca="true" t="shared" si="654" ref="C155:K155">C40</f>
        <v>a</v>
      </c>
      <c r="D155" s="79" t="str">
        <f t="shared" si="654"/>
        <v>a</v>
      </c>
      <c r="E155" s="79" t="str">
        <f t="shared" si="654"/>
        <v>a</v>
      </c>
      <c r="F155" s="79" t="str">
        <f t="shared" si="654"/>
        <v>a</v>
      </c>
      <c r="G155" s="79" t="str">
        <f t="shared" si="654"/>
        <v>a</v>
      </c>
      <c r="H155" s="79" t="str">
        <f t="shared" si="654"/>
        <v>a</v>
      </c>
      <c r="I155" s="79" t="str">
        <f t="shared" si="654"/>
        <v>a</v>
      </c>
      <c r="J155" s="79" t="str">
        <f t="shared" si="654"/>
        <v>a</v>
      </c>
      <c r="K155" s="80" t="str">
        <f t="shared" si="654"/>
        <v>a</v>
      </c>
      <c r="L155" s="36"/>
      <c r="M155" s="36"/>
      <c r="N155" s="36"/>
      <c r="O155" s="36"/>
      <c r="P155" s="36"/>
      <c r="Q155" s="36"/>
      <c r="R155" s="36"/>
      <c r="S155" s="36">
        <f t="shared" si="583"/>
        <v>1108613.6285</v>
      </c>
      <c r="T155" s="36">
        <f t="shared" si="592"/>
        <v>1159911.9455</v>
      </c>
      <c r="U155" s="36">
        <f t="shared" si="605"/>
        <v>1214060.169</v>
      </c>
      <c r="V155" s="36">
        <f t="shared" si="616"/>
        <v>1268208.3925</v>
      </c>
      <c r="W155" s="36">
        <f t="shared" si="627"/>
        <v>1325206.5225</v>
      </c>
      <c r="X155" s="36">
        <f t="shared" si="638"/>
        <v>1385054.5590000001</v>
      </c>
      <c r="Y155" s="47">
        <f t="shared" si="649"/>
        <v>1450602.4085000001</v>
      </c>
      <c r="Z155" s="36"/>
      <c r="AA155" s="36"/>
      <c r="AB155" s="36"/>
      <c r="AC155" s="36"/>
      <c r="AD155" s="36"/>
      <c r="AE155" s="36"/>
      <c r="AF155" s="36">
        <f t="shared" si="584"/>
        <v>410386.536</v>
      </c>
      <c r="AG155" s="36">
        <f t="shared" si="593"/>
        <v>421786.162</v>
      </c>
      <c r="AH155" s="36">
        <f t="shared" si="606"/>
        <v>436035.6945</v>
      </c>
      <c r="AI155" s="36">
        <f t="shared" si="617"/>
        <v>447435.32050000003</v>
      </c>
      <c r="AJ155" s="36">
        <f t="shared" si="628"/>
        <v>461684.853</v>
      </c>
      <c r="AK155" s="36">
        <f t="shared" si="639"/>
        <v>475934.38550000003</v>
      </c>
      <c r="AL155" s="47">
        <f t="shared" si="650"/>
        <v>490183.918</v>
      </c>
      <c r="AM155" s="36"/>
      <c r="AN155" s="36"/>
      <c r="AO155" s="36"/>
      <c r="AP155" s="36"/>
      <c r="AQ155" s="36"/>
      <c r="AR155" s="36"/>
      <c r="AS155" s="36">
        <f t="shared" si="585"/>
        <v>5212478.9885</v>
      </c>
      <c r="AT155" s="36">
        <f t="shared" si="594"/>
        <v>5483220.106</v>
      </c>
      <c r="AU155" s="36">
        <f t="shared" si="607"/>
        <v>5768210.756</v>
      </c>
      <c r="AV155" s="36">
        <f t="shared" si="618"/>
        <v>6067450.9385</v>
      </c>
      <c r="AW155" s="36">
        <f t="shared" si="629"/>
        <v>6383790.5600000005</v>
      </c>
      <c r="AX155" s="36">
        <f t="shared" si="640"/>
        <v>6714379.714</v>
      </c>
      <c r="AY155" s="47">
        <v>0</v>
      </c>
      <c r="AZ155" s="36"/>
      <c r="BA155" s="36"/>
      <c r="BB155" s="36"/>
      <c r="BC155" s="36"/>
      <c r="BD155" s="36"/>
      <c r="BE155" s="36"/>
      <c r="BF155" s="36">
        <f t="shared" si="586"/>
        <v>1738442.965</v>
      </c>
      <c r="BG155" s="36">
        <f t="shared" si="595"/>
        <v>1826790.0665</v>
      </c>
      <c r="BH155" s="36">
        <f t="shared" si="608"/>
        <v>1923686.8875</v>
      </c>
      <c r="BI155" s="36">
        <f t="shared" si="619"/>
        <v>2023433.615</v>
      </c>
      <c r="BJ155" s="36">
        <f t="shared" si="630"/>
        <v>2128880.1555</v>
      </c>
      <c r="BK155" s="36">
        <f t="shared" si="641"/>
        <v>2237176.6025</v>
      </c>
      <c r="BL155" s="47">
        <v>0</v>
      </c>
      <c r="BM155" s="36"/>
      <c r="BN155" s="36"/>
      <c r="BO155" s="36"/>
      <c r="BP155" s="36"/>
      <c r="BQ155" s="36"/>
      <c r="BR155" s="36"/>
      <c r="BS155" s="36"/>
      <c r="BT155" s="36"/>
      <c r="BU155" s="36"/>
      <c r="BV155" s="36"/>
      <c r="BW155" s="36"/>
      <c r="BX155" s="36"/>
      <c r="BY155" s="47"/>
      <c r="BZ155" s="36"/>
      <c r="CA155" s="36"/>
      <c r="CB155" s="36"/>
      <c r="CC155" s="36"/>
      <c r="CD155" s="36"/>
      <c r="CE155" s="36"/>
      <c r="CF155" s="36"/>
      <c r="CG155" s="36"/>
      <c r="CH155" s="36"/>
      <c r="CI155" s="36"/>
      <c r="CJ155" s="36"/>
      <c r="CK155" s="36"/>
      <c r="CL155" s="47"/>
      <c r="CM155" s="36"/>
      <c r="CN155" s="36"/>
      <c r="CO155" s="36"/>
      <c r="CP155" s="36"/>
      <c r="CQ155" s="36"/>
      <c r="CR155" s="36"/>
      <c r="CS155" s="36">
        <f t="shared" si="587"/>
        <v>384737.3775</v>
      </c>
      <c r="CT155" s="36">
        <f t="shared" si="596"/>
        <v>404686.723</v>
      </c>
      <c r="CU155" s="36">
        <f t="shared" si="609"/>
        <v>424636.0685</v>
      </c>
      <c r="CV155" s="36">
        <f t="shared" si="620"/>
        <v>447435.32050000003</v>
      </c>
      <c r="CW155" s="36">
        <f t="shared" si="631"/>
        <v>470234.5725</v>
      </c>
      <c r="CX155" s="36">
        <f t="shared" si="642"/>
        <v>495883.731</v>
      </c>
      <c r="CY155" s="36">
        <v>0</v>
      </c>
      <c r="CZ155" s="36">
        <f t="shared" si="511"/>
        <v>62190659.64300001</v>
      </c>
      <c r="DA155" s="38">
        <f>CZ155*(1+$E$10)^-21</f>
        <v>22322862.430839106</v>
      </c>
      <c r="DB155" s="78"/>
      <c r="DC155" s="36"/>
      <c r="DD155" s="36"/>
      <c r="DE155" s="36"/>
      <c r="DF155" s="36"/>
      <c r="DG155" s="36"/>
      <c r="DH155" s="36"/>
      <c r="DI155" s="36">
        <f t="shared" si="597"/>
        <v>2385737</v>
      </c>
      <c r="DJ155" s="36">
        <f t="shared" si="598"/>
        <v>2496131</v>
      </c>
      <c r="DK155" s="36">
        <f t="shared" si="610"/>
        <v>2612658</v>
      </c>
      <c r="DL155" s="36">
        <f t="shared" si="621"/>
        <v>2729185</v>
      </c>
      <c r="DM155" s="36">
        <f t="shared" si="632"/>
        <v>2851845</v>
      </c>
      <c r="DN155" s="36">
        <f t="shared" si="643"/>
        <v>2980638</v>
      </c>
      <c r="DO155" s="47">
        <f t="shared" si="651"/>
        <v>3121697</v>
      </c>
      <c r="DP155" s="36"/>
      <c r="DQ155" s="36"/>
      <c r="DR155" s="36"/>
      <c r="DS155" s="36"/>
      <c r="DT155" s="36"/>
      <c r="DU155" s="36"/>
      <c r="DV155" s="36">
        <f t="shared" si="588"/>
        <v>883152</v>
      </c>
      <c r="DW155" s="36">
        <f t="shared" si="599"/>
        <v>907684</v>
      </c>
      <c r="DX155" s="36">
        <f t="shared" si="611"/>
        <v>938349</v>
      </c>
      <c r="DY155" s="36">
        <f t="shared" si="622"/>
        <v>962881</v>
      </c>
      <c r="DZ155" s="36">
        <f t="shared" si="633"/>
        <v>993546</v>
      </c>
      <c r="EA155" s="36">
        <f t="shared" si="644"/>
        <v>1024211</v>
      </c>
      <c r="EB155" s="47">
        <f t="shared" si="652"/>
        <v>1054876</v>
      </c>
      <c r="EC155" s="36"/>
      <c r="ED155" s="36"/>
      <c r="EE155" s="36"/>
      <c r="EF155" s="36"/>
      <c r="EG155" s="36"/>
      <c r="EH155" s="36"/>
      <c r="EI155" s="36">
        <f t="shared" si="600"/>
        <v>11217257</v>
      </c>
      <c r="EJ155" s="36">
        <f t="shared" si="601"/>
        <v>11799892</v>
      </c>
      <c r="EK155" s="36">
        <f t="shared" si="612"/>
        <v>12413192</v>
      </c>
      <c r="EL155" s="36">
        <f t="shared" si="623"/>
        <v>13057157</v>
      </c>
      <c r="EM155" s="36">
        <f t="shared" si="634"/>
        <v>13737920</v>
      </c>
      <c r="EN155" s="36">
        <f t="shared" si="645"/>
        <v>14449348</v>
      </c>
      <c r="EO155" s="47">
        <v>0</v>
      </c>
      <c r="EP155" s="9"/>
      <c r="EQ155" s="36"/>
      <c r="ER155" s="36"/>
      <c r="ES155" s="36"/>
      <c r="ET155" s="36"/>
      <c r="EU155" s="36"/>
      <c r="EV155" s="36">
        <f t="shared" si="589"/>
        <v>3741130</v>
      </c>
      <c r="EW155" s="36">
        <f t="shared" si="602"/>
        <v>3931253</v>
      </c>
      <c r="EX155" s="36">
        <f t="shared" si="613"/>
        <v>4139775</v>
      </c>
      <c r="EY155" s="36">
        <f t="shared" si="624"/>
        <v>4354430</v>
      </c>
      <c r="EZ155" s="36">
        <f t="shared" si="635"/>
        <v>4581351</v>
      </c>
      <c r="FA155" s="36">
        <f t="shared" si="646"/>
        <v>4814405</v>
      </c>
      <c r="FB155" s="47">
        <v>0</v>
      </c>
      <c r="FC155" s="36"/>
      <c r="FD155" s="36"/>
      <c r="FE155" s="36"/>
      <c r="FF155" s="36"/>
      <c r="FG155" s="36"/>
      <c r="FH155" s="36"/>
      <c r="FI155" s="36"/>
      <c r="FJ155" s="36"/>
      <c r="FK155" s="36"/>
      <c r="FL155" s="36"/>
      <c r="FM155" s="36"/>
      <c r="FN155" s="36"/>
      <c r="FO155" s="47"/>
      <c r="FP155" s="36"/>
      <c r="FQ155" s="36"/>
      <c r="FR155" s="36"/>
      <c r="FS155" s="36"/>
      <c r="FT155" s="36"/>
      <c r="FU155" s="36"/>
      <c r="FV155" s="36"/>
      <c r="FW155" s="36"/>
      <c r="FX155" s="36"/>
      <c r="FY155" s="36"/>
      <c r="FZ155" s="36"/>
      <c r="GA155" s="36"/>
      <c r="GB155" s="47"/>
      <c r="GC155" s="36"/>
      <c r="GD155" s="36"/>
      <c r="GE155" s="36"/>
      <c r="GF155" s="36"/>
      <c r="GG155" s="36"/>
      <c r="GH155" s="36"/>
      <c r="GI155" s="36">
        <f t="shared" si="590"/>
        <v>827955</v>
      </c>
      <c r="GJ155" s="36">
        <f t="shared" si="603"/>
        <v>870886</v>
      </c>
      <c r="GK155" s="36">
        <f t="shared" si="614"/>
        <v>913817</v>
      </c>
      <c r="GL155" s="36">
        <f t="shared" si="625"/>
        <v>962881</v>
      </c>
      <c r="GM155" s="36">
        <f t="shared" si="636"/>
        <v>1011945</v>
      </c>
      <c r="GN155" s="36">
        <f t="shared" si="647"/>
        <v>1067142</v>
      </c>
      <c r="GO155" s="47">
        <v>0</v>
      </c>
      <c r="GP155" s="36">
        <f>SUM(DC155:GO155)</f>
        <v>133834326</v>
      </c>
      <c r="GQ155" s="38">
        <f>GP155*(1+$E$11)^-21</f>
        <v>48038809.44456817</v>
      </c>
      <c r="GR155" s="38">
        <f t="shared" si="524"/>
        <v>196024985.643</v>
      </c>
      <c r="GS155" s="52">
        <f t="shared" si="512"/>
        <v>70361671.87540728</v>
      </c>
      <c r="GT155" s="9"/>
    </row>
    <row r="156" spans="1:202" ht="18.75">
      <c r="A156" s="9"/>
      <c r="B156" s="49">
        <v>2024</v>
      </c>
      <c r="C156" s="79" t="str">
        <f aca="true" t="shared" si="655" ref="C156:K156">C41</f>
        <v>a</v>
      </c>
      <c r="D156" s="79" t="str">
        <f t="shared" si="655"/>
        <v>a</v>
      </c>
      <c r="E156" s="79" t="str">
        <f t="shared" si="655"/>
        <v>a</v>
      </c>
      <c r="F156" s="79" t="str">
        <f t="shared" si="655"/>
        <v>a</v>
      </c>
      <c r="G156" s="79" t="str">
        <f t="shared" si="655"/>
        <v>a</v>
      </c>
      <c r="H156" s="79" t="str">
        <f t="shared" si="655"/>
        <v>a</v>
      </c>
      <c r="I156" s="79" t="str">
        <f t="shared" si="655"/>
        <v>a</v>
      </c>
      <c r="J156" s="79" t="str">
        <f t="shared" si="655"/>
        <v>a</v>
      </c>
      <c r="K156" s="80" t="str">
        <f t="shared" si="655"/>
        <v>a</v>
      </c>
      <c r="L156" s="36"/>
      <c r="M156" s="36"/>
      <c r="N156" s="36"/>
      <c r="O156" s="36"/>
      <c r="P156" s="36"/>
      <c r="Q156" s="36"/>
      <c r="R156" s="36"/>
      <c r="S156" s="36"/>
      <c r="T156" s="36">
        <f t="shared" si="592"/>
        <v>1159911.9455</v>
      </c>
      <c r="U156" s="36">
        <f t="shared" si="605"/>
        <v>1214060.169</v>
      </c>
      <c r="V156" s="36">
        <f t="shared" si="616"/>
        <v>1268208.3925</v>
      </c>
      <c r="W156" s="36">
        <f t="shared" si="627"/>
        <v>1325206.5225</v>
      </c>
      <c r="X156" s="36">
        <f t="shared" si="638"/>
        <v>1385054.5590000001</v>
      </c>
      <c r="Y156" s="47">
        <f t="shared" si="649"/>
        <v>1450602.4085000001</v>
      </c>
      <c r="Z156" s="36"/>
      <c r="AA156" s="36"/>
      <c r="AB156" s="36"/>
      <c r="AC156" s="36"/>
      <c r="AD156" s="36"/>
      <c r="AE156" s="36"/>
      <c r="AF156" s="36"/>
      <c r="AG156" s="36">
        <f t="shared" si="593"/>
        <v>421786.162</v>
      </c>
      <c r="AH156" s="36">
        <f t="shared" si="606"/>
        <v>436035.6945</v>
      </c>
      <c r="AI156" s="36">
        <f t="shared" si="617"/>
        <v>447435.32050000003</v>
      </c>
      <c r="AJ156" s="36">
        <f t="shared" si="628"/>
        <v>461684.853</v>
      </c>
      <c r="AK156" s="36">
        <f t="shared" si="639"/>
        <v>475934.38550000003</v>
      </c>
      <c r="AL156" s="47">
        <f t="shared" si="650"/>
        <v>490183.918</v>
      </c>
      <c r="AM156" s="36"/>
      <c r="AN156" s="36"/>
      <c r="AO156" s="36"/>
      <c r="AP156" s="36"/>
      <c r="AQ156" s="36"/>
      <c r="AR156" s="36"/>
      <c r="AS156" s="36"/>
      <c r="AT156" s="36">
        <f t="shared" si="594"/>
        <v>5483220.106</v>
      </c>
      <c r="AU156" s="36">
        <f t="shared" si="607"/>
        <v>5768210.756</v>
      </c>
      <c r="AV156" s="36">
        <f t="shared" si="618"/>
        <v>6067450.9385</v>
      </c>
      <c r="AW156" s="36">
        <f t="shared" si="629"/>
        <v>6383790.5600000005</v>
      </c>
      <c r="AX156" s="36">
        <f t="shared" si="640"/>
        <v>6714379.714</v>
      </c>
      <c r="AY156" s="47">
        <v>0</v>
      </c>
      <c r="AZ156" s="36"/>
      <c r="BA156" s="36"/>
      <c r="BB156" s="36"/>
      <c r="BC156" s="36"/>
      <c r="BD156" s="36"/>
      <c r="BE156" s="36"/>
      <c r="BF156" s="36"/>
      <c r="BG156" s="36">
        <f t="shared" si="595"/>
        <v>1826790.0665</v>
      </c>
      <c r="BH156" s="36">
        <f t="shared" si="608"/>
        <v>1923686.8875</v>
      </c>
      <c r="BI156" s="36">
        <f t="shared" si="619"/>
        <v>2023433.615</v>
      </c>
      <c r="BJ156" s="36">
        <f t="shared" si="630"/>
        <v>2128880.1555</v>
      </c>
      <c r="BK156" s="36">
        <f t="shared" si="641"/>
        <v>2237176.6025</v>
      </c>
      <c r="BL156" s="47">
        <v>0</v>
      </c>
      <c r="BM156" s="36"/>
      <c r="BN156" s="36"/>
      <c r="BO156" s="36"/>
      <c r="BP156" s="36"/>
      <c r="BQ156" s="36"/>
      <c r="BR156" s="36"/>
      <c r="BS156" s="36"/>
      <c r="BT156" s="36"/>
      <c r="BU156" s="36"/>
      <c r="BV156" s="36"/>
      <c r="BW156" s="36"/>
      <c r="BX156" s="36"/>
      <c r="BY156" s="47"/>
      <c r="BZ156" s="36"/>
      <c r="CA156" s="36"/>
      <c r="CB156" s="36"/>
      <c r="CC156" s="36"/>
      <c r="CD156" s="36"/>
      <c r="CE156" s="36"/>
      <c r="CF156" s="36"/>
      <c r="CG156" s="36"/>
      <c r="CH156" s="36"/>
      <c r="CI156" s="36"/>
      <c r="CJ156" s="36"/>
      <c r="CK156" s="36"/>
      <c r="CL156" s="47"/>
      <c r="CM156" s="36"/>
      <c r="CN156" s="36"/>
      <c r="CO156" s="36"/>
      <c r="CP156" s="36"/>
      <c r="CQ156" s="36"/>
      <c r="CR156" s="36"/>
      <c r="CS156" s="36"/>
      <c r="CT156" s="36">
        <f t="shared" si="596"/>
        <v>404686.723</v>
      </c>
      <c r="CU156" s="36">
        <f t="shared" si="609"/>
        <v>424636.0685</v>
      </c>
      <c r="CV156" s="36">
        <f t="shared" si="620"/>
        <v>447435.32050000003</v>
      </c>
      <c r="CW156" s="36">
        <f t="shared" si="631"/>
        <v>470234.5725</v>
      </c>
      <c r="CX156" s="36">
        <f t="shared" si="642"/>
        <v>495883.731</v>
      </c>
      <c r="CY156" s="36">
        <v>0</v>
      </c>
      <c r="CZ156" s="36">
        <f t="shared" si="511"/>
        <v>53336000.1475</v>
      </c>
      <c r="DA156" s="38">
        <f>CZ156*(1+$E$10)^-22</f>
        <v>18232904.77469892</v>
      </c>
      <c r="DB156" s="78"/>
      <c r="DC156" s="36"/>
      <c r="DD156" s="36"/>
      <c r="DE156" s="36"/>
      <c r="DF156" s="36"/>
      <c r="DG156" s="36"/>
      <c r="DH156" s="36"/>
      <c r="DI156" s="36"/>
      <c r="DJ156" s="36">
        <f t="shared" si="598"/>
        <v>2496131</v>
      </c>
      <c r="DK156" s="36">
        <f t="shared" si="610"/>
        <v>2612658</v>
      </c>
      <c r="DL156" s="36">
        <f t="shared" si="621"/>
        <v>2729185</v>
      </c>
      <c r="DM156" s="36">
        <f t="shared" si="632"/>
        <v>2851845</v>
      </c>
      <c r="DN156" s="36">
        <f t="shared" si="643"/>
        <v>2980638</v>
      </c>
      <c r="DO156" s="47">
        <f t="shared" si="651"/>
        <v>3121697</v>
      </c>
      <c r="DP156" s="36"/>
      <c r="DQ156" s="36"/>
      <c r="DR156" s="36"/>
      <c r="DS156" s="36"/>
      <c r="DT156" s="36"/>
      <c r="DU156" s="36"/>
      <c r="DV156" s="36"/>
      <c r="DW156" s="36">
        <f t="shared" si="599"/>
        <v>907684</v>
      </c>
      <c r="DX156" s="36">
        <f t="shared" si="611"/>
        <v>938349</v>
      </c>
      <c r="DY156" s="36">
        <f t="shared" si="622"/>
        <v>962881</v>
      </c>
      <c r="DZ156" s="36">
        <f t="shared" si="633"/>
        <v>993546</v>
      </c>
      <c r="EA156" s="36">
        <f t="shared" si="644"/>
        <v>1024211</v>
      </c>
      <c r="EB156" s="47">
        <f t="shared" si="652"/>
        <v>1054876</v>
      </c>
      <c r="EC156" s="36"/>
      <c r="ED156" s="36"/>
      <c r="EE156" s="36"/>
      <c r="EF156" s="36"/>
      <c r="EG156" s="36"/>
      <c r="EH156" s="36"/>
      <c r="EI156" s="36"/>
      <c r="EJ156" s="36">
        <f t="shared" si="601"/>
        <v>11799892</v>
      </c>
      <c r="EK156" s="36">
        <f t="shared" si="612"/>
        <v>12413192</v>
      </c>
      <c r="EL156" s="36">
        <f t="shared" si="623"/>
        <v>13057157</v>
      </c>
      <c r="EM156" s="36">
        <f t="shared" si="634"/>
        <v>13737920</v>
      </c>
      <c r="EN156" s="36">
        <f t="shared" si="645"/>
        <v>14449348</v>
      </c>
      <c r="EO156" s="47">
        <v>0</v>
      </c>
      <c r="EP156" s="9"/>
      <c r="EQ156" s="36"/>
      <c r="ER156" s="36"/>
      <c r="ES156" s="36"/>
      <c r="ET156" s="36"/>
      <c r="EU156" s="36"/>
      <c r="EV156" s="36"/>
      <c r="EW156" s="36">
        <f t="shared" si="602"/>
        <v>3931253</v>
      </c>
      <c r="EX156" s="36">
        <f t="shared" si="613"/>
        <v>4139775</v>
      </c>
      <c r="EY156" s="36">
        <f t="shared" si="624"/>
        <v>4354430</v>
      </c>
      <c r="EZ156" s="36">
        <f t="shared" si="635"/>
        <v>4581351</v>
      </c>
      <c r="FA156" s="36">
        <f t="shared" si="646"/>
        <v>4814405</v>
      </c>
      <c r="FB156" s="47">
        <v>0</v>
      </c>
      <c r="FC156" s="36"/>
      <c r="FD156" s="36"/>
      <c r="FE156" s="36"/>
      <c r="FF156" s="36"/>
      <c r="FG156" s="36"/>
      <c r="FH156" s="36"/>
      <c r="FI156" s="36"/>
      <c r="FJ156" s="36"/>
      <c r="FK156" s="36"/>
      <c r="FL156" s="36"/>
      <c r="FM156" s="36"/>
      <c r="FN156" s="36"/>
      <c r="FO156" s="47"/>
      <c r="FP156" s="36"/>
      <c r="FQ156" s="36"/>
      <c r="FR156" s="36"/>
      <c r="FS156" s="36"/>
      <c r="FT156" s="36"/>
      <c r="FU156" s="36"/>
      <c r="FV156" s="36"/>
      <c r="FW156" s="36"/>
      <c r="FX156" s="36"/>
      <c r="FY156" s="36"/>
      <c r="FZ156" s="36"/>
      <c r="GA156" s="36"/>
      <c r="GB156" s="47"/>
      <c r="GC156" s="36"/>
      <c r="GD156" s="36"/>
      <c r="GE156" s="36"/>
      <c r="GF156" s="36"/>
      <c r="GG156" s="36"/>
      <c r="GH156" s="36"/>
      <c r="GI156" s="36"/>
      <c r="GJ156" s="36">
        <f t="shared" si="603"/>
        <v>870886</v>
      </c>
      <c r="GK156" s="36">
        <f t="shared" si="614"/>
        <v>913817</v>
      </c>
      <c r="GL156" s="36">
        <f t="shared" si="625"/>
        <v>962881</v>
      </c>
      <c r="GM156" s="36">
        <f t="shared" si="636"/>
        <v>1011945</v>
      </c>
      <c r="GN156" s="36">
        <f t="shared" si="647"/>
        <v>1067142</v>
      </c>
      <c r="GO156" s="47">
        <v>0</v>
      </c>
      <c r="GP156" s="36">
        <f>SUM(DC156:GO156)</f>
        <v>114779095</v>
      </c>
      <c r="GQ156" s="38">
        <f>GP156*(1+$E$11)^-22</f>
        <v>39237218.82918913</v>
      </c>
      <c r="GR156" s="38">
        <f t="shared" si="524"/>
        <v>168115095.1475</v>
      </c>
      <c r="GS156" s="52">
        <f t="shared" si="512"/>
        <v>57470123.60388805</v>
      </c>
      <c r="GT156" s="9"/>
    </row>
    <row r="157" spans="1:202" ht="18.75">
      <c r="A157" s="9"/>
      <c r="B157" s="49">
        <v>2025</v>
      </c>
      <c r="C157" s="79" t="str">
        <f aca="true" t="shared" si="656" ref="C157:K157">C42</f>
        <v>a</v>
      </c>
      <c r="D157" s="79" t="str">
        <f t="shared" si="656"/>
        <v>a</v>
      </c>
      <c r="E157" s="79" t="str">
        <f t="shared" si="656"/>
        <v>a</v>
      </c>
      <c r="F157" s="79" t="str">
        <f t="shared" si="656"/>
        <v>a</v>
      </c>
      <c r="G157" s="79" t="str">
        <f t="shared" si="656"/>
        <v>a</v>
      </c>
      <c r="H157" s="79" t="str">
        <f t="shared" si="656"/>
        <v>a</v>
      </c>
      <c r="I157" s="79" t="str">
        <f t="shared" si="656"/>
        <v>a</v>
      </c>
      <c r="J157" s="79" t="str">
        <f t="shared" si="656"/>
        <v>a</v>
      </c>
      <c r="K157" s="80" t="str">
        <f t="shared" si="656"/>
        <v>a</v>
      </c>
      <c r="L157" s="36"/>
      <c r="M157" s="36"/>
      <c r="N157" s="36"/>
      <c r="O157" s="36"/>
      <c r="P157" s="36"/>
      <c r="Q157" s="36"/>
      <c r="R157" s="36"/>
      <c r="S157" s="36"/>
      <c r="T157" s="36"/>
      <c r="U157" s="36">
        <f t="shared" si="605"/>
        <v>1214060.169</v>
      </c>
      <c r="V157" s="36">
        <f t="shared" si="616"/>
        <v>1268208.3925</v>
      </c>
      <c r="W157" s="36">
        <f t="shared" si="627"/>
        <v>1325206.5225</v>
      </c>
      <c r="X157" s="36">
        <f t="shared" si="638"/>
        <v>1385054.5590000001</v>
      </c>
      <c r="Y157" s="47">
        <f t="shared" si="649"/>
        <v>1450602.4085000001</v>
      </c>
      <c r="Z157" s="36"/>
      <c r="AA157" s="36"/>
      <c r="AB157" s="36"/>
      <c r="AC157" s="36"/>
      <c r="AD157" s="36"/>
      <c r="AE157" s="36"/>
      <c r="AF157" s="36"/>
      <c r="AG157" s="36"/>
      <c r="AH157" s="36">
        <f t="shared" si="606"/>
        <v>436035.6945</v>
      </c>
      <c r="AI157" s="36">
        <f t="shared" si="617"/>
        <v>447435.32050000003</v>
      </c>
      <c r="AJ157" s="36">
        <f t="shared" si="628"/>
        <v>461684.853</v>
      </c>
      <c r="AK157" s="36">
        <f t="shared" si="639"/>
        <v>475934.38550000003</v>
      </c>
      <c r="AL157" s="47">
        <f t="shared" si="650"/>
        <v>490183.918</v>
      </c>
      <c r="AM157" s="36"/>
      <c r="AN157" s="36"/>
      <c r="AO157" s="36"/>
      <c r="AP157" s="36"/>
      <c r="AQ157" s="36"/>
      <c r="AR157" s="36"/>
      <c r="AS157" s="36"/>
      <c r="AT157" s="36"/>
      <c r="AU157" s="36">
        <f t="shared" si="607"/>
        <v>5768210.756</v>
      </c>
      <c r="AV157" s="36">
        <f t="shared" si="618"/>
        <v>6067450.9385</v>
      </c>
      <c r="AW157" s="36">
        <f t="shared" si="629"/>
        <v>6383790.5600000005</v>
      </c>
      <c r="AX157" s="36">
        <f t="shared" si="640"/>
        <v>6714379.714</v>
      </c>
      <c r="AY157" s="47">
        <v>0</v>
      </c>
      <c r="AZ157" s="36"/>
      <c r="BA157" s="36"/>
      <c r="BB157" s="36"/>
      <c r="BC157" s="36"/>
      <c r="BD157" s="36"/>
      <c r="BE157" s="36"/>
      <c r="BF157" s="36"/>
      <c r="BG157" s="36"/>
      <c r="BH157" s="36">
        <f t="shared" si="608"/>
        <v>1923686.8875</v>
      </c>
      <c r="BI157" s="36">
        <f t="shared" si="619"/>
        <v>2023433.615</v>
      </c>
      <c r="BJ157" s="36">
        <f t="shared" si="630"/>
        <v>2128880.1555</v>
      </c>
      <c r="BK157" s="36">
        <f t="shared" si="641"/>
        <v>2237176.6025</v>
      </c>
      <c r="BL157" s="47">
        <v>0</v>
      </c>
      <c r="BM157" s="36"/>
      <c r="BN157" s="36"/>
      <c r="BO157" s="36"/>
      <c r="BP157" s="36"/>
      <c r="BQ157" s="36"/>
      <c r="BR157" s="36"/>
      <c r="BS157" s="36"/>
      <c r="BT157" s="36"/>
      <c r="BU157" s="36"/>
      <c r="BV157" s="36"/>
      <c r="BW157" s="36"/>
      <c r="BX157" s="36"/>
      <c r="BY157" s="47"/>
      <c r="BZ157" s="36"/>
      <c r="CA157" s="36"/>
      <c r="CB157" s="36"/>
      <c r="CC157" s="36"/>
      <c r="CD157" s="36"/>
      <c r="CE157" s="36"/>
      <c r="CF157" s="36"/>
      <c r="CG157" s="36"/>
      <c r="CH157" s="36"/>
      <c r="CI157" s="36"/>
      <c r="CJ157" s="36"/>
      <c r="CK157" s="36"/>
      <c r="CL157" s="47"/>
      <c r="CM157" s="36"/>
      <c r="CN157" s="36"/>
      <c r="CO157" s="36"/>
      <c r="CP157" s="36"/>
      <c r="CQ157" s="36"/>
      <c r="CR157" s="36"/>
      <c r="CS157" s="36"/>
      <c r="CT157" s="36"/>
      <c r="CU157" s="36">
        <f t="shared" si="609"/>
        <v>424636.0685</v>
      </c>
      <c r="CV157" s="36">
        <f t="shared" si="620"/>
        <v>447435.32050000003</v>
      </c>
      <c r="CW157" s="36">
        <f t="shared" si="631"/>
        <v>470234.5725</v>
      </c>
      <c r="CX157" s="36">
        <f t="shared" si="642"/>
        <v>495883.731</v>
      </c>
      <c r="CY157" s="36">
        <v>0</v>
      </c>
      <c r="CZ157" s="36">
        <f t="shared" si="511"/>
        <v>44039605.14450001</v>
      </c>
      <c r="DA157" s="38">
        <f>CZ157*(1+$E$10)^-23</f>
        <v>14338031.753669577</v>
      </c>
      <c r="DB157" s="78"/>
      <c r="DC157" s="36"/>
      <c r="DD157" s="36"/>
      <c r="DE157" s="36"/>
      <c r="DF157" s="36"/>
      <c r="DG157" s="36"/>
      <c r="DH157" s="36"/>
      <c r="DI157" s="36"/>
      <c r="DJ157" s="36"/>
      <c r="DK157" s="36">
        <f t="shared" si="610"/>
        <v>2612658</v>
      </c>
      <c r="DL157" s="36">
        <f t="shared" si="621"/>
        <v>2729185</v>
      </c>
      <c r="DM157" s="36">
        <f t="shared" si="632"/>
        <v>2851845</v>
      </c>
      <c r="DN157" s="36">
        <f t="shared" si="643"/>
        <v>2980638</v>
      </c>
      <c r="DO157" s="47">
        <f t="shared" si="651"/>
        <v>3121697</v>
      </c>
      <c r="DP157" s="36"/>
      <c r="DQ157" s="36"/>
      <c r="DR157" s="36"/>
      <c r="DS157" s="36"/>
      <c r="DT157" s="36"/>
      <c r="DU157" s="36"/>
      <c r="DV157" s="36"/>
      <c r="DW157" s="36"/>
      <c r="DX157" s="36">
        <f t="shared" si="611"/>
        <v>938349</v>
      </c>
      <c r="DY157" s="36">
        <f t="shared" si="622"/>
        <v>962881</v>
      </c>
      <c r="DZ157" s="36">
        <f t="shared" si="633"/>
        <v>993546</v>
      </c>
      <c r="EA157" s="36">
        <f t="shared" si="644"/>
        <v>1024211</v>
      </c>
      <c r="EB157" s="47">
        <f t="shared" si="652"/>
        <v>1054876</v>
      </c>
      <c r="EC157" s="36"/>
      <c r="ED157" s="36"/>
      <c r="EE157" s="36"/>
      <c r="EF157" s="36"/>
      <c r="EG157" s="36"/>
      <c r="EH157" s="36"/>
      <c r="EI157" s="36"/>
      <c r="EJ157" s="36"/>
      <c r="EK157" s="36">
        <f t="shared" si="612"/>
        <v>12413192</v>
      </c>
      <c r="EL157" s="36">
        <f t="shared" si="623"/>
        <v>13057157</v>
      </c>
      <c r="EM157" s="36">
        <f t="shared" si="634"/>
        <v>13737920</v>
      </c>
      <c r="EN157" s="36">
        <f t="shared" si="645"/>
        <v>14449348</v>
      </c>
      <c r="EO157" s="47">
        <v>0</v>
      </c>
      <c r="EP157" s="9"/>
      <c r="EQ157" s="36"/>
      <c r="ER157" s="36"/>
      <c r="ES157" s="36"/>
      <c r="ET157" s="36"/>
      <c r="EU157" s="36"/>
      <c r="EV157" s="36"/>
      <c r="EW157" s="36"/>
      <c r="EX157" s="36">
        <f t="shared" si="613"/>
        <v>4139775</v>
      </c>
      <c r="EY157" s="36">
        <f t="shared" si="624"/>
        <v>4354430</v>
      </c>
      <c r="EZ157" s="36">
        <f t="shared" si="635"/>
        <v>4581351</v>
      </c>
      <c r="FA157" s="36">
        <f t="shared" si="646"/>
        <v>4814405</v>
      </c>
      <c r="FB157" s="47">
        <v>0</v>
      </c>
      <c r="FC157" s="36"/>
      <c r="FD157" s="36"/>
      <c r="FE157" s="36"/>
      <c r="FF157" s="36"/>
      <c r="FG157" s="36"/>
      <c r="FH157" s="36"/>
      <c r="FI157" s="36"/>
      <c r="FJ157" s="36"/>
      <c r="FK157" s="36"/>
      <c r="FL157" s="36"/>
      <c r="FM157" s="36"/>
      <c r="FN157" s="36"/>
      <c r="FO157" s="47"/>
      <c r="FP157" s="36"/>
      <c r="FQ157" s="36"/>
      <c r="FR157" s="36"/>
      <c r="FS157" s="36"/>
      <c r="FT157" s="36"/>
      <c r="FU157" s="36"/>
      <c r="FV157" s="36"/>
      <c r="FW157" s="36"/>
      <c r="FX157" s="36"/>
      <c r="FY157" s="36"/>
      <c r="FZ157" s="36"/>
      <c r="GA157" s="36"/>
      <c r="GB157" s="47"/>
      <c r="GC157" s="36"/>
      <c r="GD157" s="36"/>
      <c r="GE157" s="36"/>
      <c r="GF157" s="36"/>
      <c r="GG157" s="36"/>
      <c r="GH157" s="36"/>
      <c r="GI157" s="36"/>
      <c r="GJ157" s="36"/>
      <c r="GK157" s="36">
        <f t="shared" si="614"/>
        <v>913817</v>
      </c>
      <c r="GL157" s="36">
        <f t="shared" si="625"/>
        <v>962881</v>
      </c>
      <c r="GM157" s="36">
        <f t="shared" si="636"/>
        <v>1011945</v>
      </c>
      <c r="GN157" s="36">
        <f t="shared" si="647"/>
        <v>1067142</v>
      </c>
      <c r="GO157" s="47">
        <v>0</v>
      </c>
      <c r="GP157" s="36">
        <f>SUM(DC157:GO157)</f>
        <v>94773249</v>
      </c>
      <c r="GQ157" s="38">
        <f>GP157*(1+$E$11)^-23</f>
        <v>30855450.431533627</v>
      </c>
      <c r="GR157" s="38">
        <f t="shared" si="524"/>
        <v>138812854.14450002</v>
      </c>
      <c r="GS157" s="52">
        <f t="shared" si="512"/>
        <v>45193482.1852032</v>
      </c>
      <c r="GT157" s="9"/>
    </row>
    <row r="158" spans="1:202" ht="18.75">
      <c r="A158" s="9"/>
      <c r="B158" s="49">
        <v>2026</v>
      </c>
      <c r="C158" s="79" t="str">
        <f aca="true" t="shared" si="657" ref="C158:K158">C43</f>
        <v>a</v>
      </c>
      <c r="D158" s="79" t="str">
        <f t="shared" si="657"/>
        <v>a</v>
      </c>
      <c r="E158" s="79" t="str">
        <f t="shared" si="657"/>
        <v>a</v>
      </c>
      <c r="F158" s="79" t="str">
        <f t="shared" si="657"/>
        <v>a</v>
      </c>
      <c r="G158" s="79" t="str">
        <f t="shared" si="657"/>
        <v>a</v>
      </c>
      <c r="H158" s="79" t="str">
        <f t="shared" si="657"/>
        <v>a</v>
      </c>
      <c r="I158" s="79" t="str">
        <f t="shared" si="657"/>
        <v>a</v>
      </c>
      <c r="J158" s="79" t="str">
        <f t="shared" si="657"/>
        <v>a</v>
      </c>
      <c r="K158" s="80" t="str">
        <f t="shared" si="657"/>
        <v>a</v>
      </c>
      <c r="L158" s="36"/>
      <c r="M158" s="36"/>
      <c r="N158" s="36"/>
      <c r="O158" s="36"/>
      <c r="P158" s="36"/>
      <c r="Q158" s="36"/>
      <c r="R158" s="36"/>
      <c r="S158" s="36"/>
      <c r="T158" s="36"/>
      <c r="U158" s="36"/>
      <c r="V158" s="36">
        <f t="shared" si="616"/>
        <v>1268208.3925</v>
      </c>
      <c r="W158" s="36">
        <f t="shared" si="627"/>
        <v>1325206.5225</v>
      </c>
      <c r="X158" s="36">
        <f t="shared" si="638"/>
        <v>1385054.5590000001</v>
      </c>
      <c r="Y158" s="47">
        <f t="shared" si="649"/>
        <v>1450602.4085000001</v>
      </c>
      <c r="Z158" s="36"/>
      <c r="AA158" s="36"/>
      <c r="AB158" s="36"/>
      <c r="AC158" s="36"/>
      <c r="AD158" s="36"/>
      <c r="AE158" s="36"/>
      <c r="AF158" s="36"/>
      <c r="AG158" s="36"/>
      <c r="AH158" s="36"/>
      <c r="AI158" s="36">
        <f t="shared" si="617"/>
        <v>447435.32050000003</v>
      </c>
      <c r="AJ158" s="36">
        <f t="shared" si="628"/>
        <v>461684.853</v>
      </c>
      <c r="AK158" s="36">
        <f t="shared" si="639"/>
        <v>475934.38550000003</v>
      </c>
      <c r="AL158" s="47">
        <f t="shared" si="650"/>
        <v>490183.918</v>
      </c>
      <c r="AM158" s="36"/>
      <c r="AN158" s="36"/>
      <c r="AO158" s="36"/>
      <c r="AP158" s="36"/>
      <c r="AQ158" s="36"/>
      <c r="AR158" s="36"/>
      <c r="AS158" s="36"/>
      <c r="AT158" s="36"/>
      <c r="AU158" s="36"/>
      <c r="AV158" s="36">
        <f t="shared" si="618"/>
        <v>6067450.9385</v>
      </c>
      <c r="AW158" s="36">
        <f t="shared" si="629"/>
        <v>6383790.5600000005</v>
      </c>
      <c r="AX158" s="36">
        <f t="shared" si="640"/>
        <v>6714379.714</v>
      </c>
      <c r="AY158" s="47">
        <v>0</v>
      </c>
      <c r="AZ158" s="36"/>
      <c r="BA158" s="36"/>
      <c r="BB158" s="36"/>
      <c r="BC158" s="36"/>
      <c r="BD158" s="36"/>
      <c r="BE158" s="36"/>
      <c r="BF158" s="36"/>
      <c r="BG158" s="36"/>
      <c r="BH158" s="36"/>
      <c r="BI158" s="36">
        <f t="shared" si="619"/>
        <v>2023433.615</v>
      </c>
      <c r="BJ158" s="36">
        <f t="shared" si="630"/>
        <v>2128880.1555</v>
      </c>
      <c r="BK158" s="36">
        <f t="shared" si="641"/>
        <v>2237176.6025</v>
      </c>
      <c r="BL158" s="47">
        <v>0</v>
      </c>
      <c r="BM158" s="36"/>
      <c r="BN158" s="36"/>
      <c r="BO158" s="36"/>
      <c r="BP158" s="36"/>
      <c r="BQ158" s="36"/>
      <c r="BR158" s="36"/>
      <c r="BS158" s="36"/>
      <c r="BT158" s="36"/>
      <c r="BU158" s="36"/>
      <c r="BV158" s="36"/>
      <c r="BW158" s="36"/>
      <c r="BX158" s="36"/>
      <c r="BY158" s="47"/>
      <c r="BZ158" s="36"/>
      <c r="CA158" s="36"/>
      <c r="CB158" s="36"/>
      <c r="CC158" s="36"/>
      <c r="CD158" s="36"/>
      <c r="CE158" s="36"/>
      <c r="CF158" s="36"/>
      <c r="CG158" s="36"/>
      <c r="CH158" s="36"/>
      <c r="CI158" s="36"/>
      <c r="CJ158" s="36"/>
      <c r="CK158" s="36"/>
      <c r="CL158" s="47"/>
      <c r="CM158" s="36"/>
      <c r="CN158" s="36"/>
      <c r="CO158" s="36"/>
      <c r="CP158" s="36"/>
      <c r="CQ158" s="36"/>
      <c r="CR158" s="36"/>
      <c r="CS158" s="36"/>
      <c r="CT158" s="36"/>
      <c r="CU158" s="36"/>
      <c r="CV158" s="36">
        <f t="shared" si="620"/>
        <v>447435.32050000003</v>
      </c>
      <c r="CW158" s="36">
        <f t="shared" si="631"/>
        <v>470234.5725</v>
      </c>
      <c r="CX158" s="36">
        <f t="shared" si="642"/>
        <v>495883.731</v>
      </c>
      <c r="CY158" s="36">
        <v>0</v>
      </c>
      <c r="CZ158" s="36">
        <f t="shared" si="511"/>
        <v>34272975.569</v>
      </c>
      <c r="DA158" s="38">
        <f>CZ158*(1+$E$10)^-24</f>
        <v>10626949.913848154</v>
      </c>
      <c r="DB158" s="78"/>
      <c r="DC158" s="36"/>
      <c r="DD158" s="36"/>
      <c r="DE158" s="36"/>
      <c r="DF158" s="36"/>
      <c r="DG158" s="36"/>
      <c r="DH158" s="36"/>
      <c r="DI158" s="36"/>
      <c r="DJ158" s="36"/>
      <c r="DK158" s="36"/>
      <c r="DL158" s="36">
        <f t="shared" si="621"/>
        <v>2729185</v>
      </c>
      <c r="DM158" s="36">
        <f t="shared" si="632"/>
        <v>2851845</v>
      </c>
      <c r="DN158" s="36">
        <f t="shared" si="643"/>
        <v>2980638</v>
      </c>
      <c r="DO158" s="47">
        <f t="shared" si="651"/>
        <v>3121697</v>
      </c>
      <c r="DP158" s="36"/>
      <c r="DQ158" s="36"/>
      <c r="DR158" s="36"/>
      <c r="DS158" s="36"/>
      <c r="DT158" s="36"/>
      <c r="DU158" s="36"/>
      <c r="DV158" s="36"/>
      <c r="DW158" s="36"/>
      <c r="DX158" s="36"/>
      <c r="DY158" s="36">
        <f t="shared" si="622"/>
        <v>962881</v>
      </c>
      <c r="DZ158" s="36">
        <f t="shared" si="633"/>
        <v>993546</v>
      </c>
      <c r="EA158" s="36">
        <f t="shared" si="644"/>
        <v>1024211</v>
      </c>
      <c r="EB158" s="47">
        <f t="shared" si="652"/>
        <v>1054876</v>
      </c>
      <c r="EC158" s="36"/>
      <c r="ED158" s="36"/>
      <c r="EE158" s="36"/>
      <c r="EF158" s="36"/>
      <c r="EG158" s="36"/>
      <c r="EH158" s="36"/>
      <c r="EI158" s="36"/>
      <c r="EJ158" s="36"/>
      <c r="EK158" s="36"/>
      <c r="EL158" s="36">
        <f t="shared" si="623"/>
        <v>13057157</v>
      </c>
      <c r="EM158" s="36">
        <f t="shared" si="634"/>
        <v>13737920</v>
      </c>
      <c r="EN158" s="36">
        <f t="shared" si="645"/>
        <v>14449348</v>
      </c>
      <c r="EO158" s="47">
        <v>0</v>
      </c>
      <c r="EP158" s="9"/>
      <c r="EQ158" s="36"/>
      <c r="ER158" s="36"/>
      <c r="ES158" s="36"/>
      <c r="ET158" s="36"/>
      <c r="EU158" s="36"/>
      <c r="EV158" s="36"/>
      <c r="EW158" s="36"/>
      <c r="EX158" s="36"/>
      <c r="EY158" s="36">
        <f t="shared" si="624"/>
        <v>4354430</v>
      </c>
      <c r="EZ158" s="36">
        <f t="shared" si="635"/>
        <v>4581351</v>
      </c>
      <c r="FA158" s="36">
        <f t="shared" si="646"/>
        <v>4814405</v>
      </c>
      <c r="FB158" s="47">
        <v>0</v>
      </c>
      <c r="FC158" s="36"/>
      <c r="FD158" s="36"/>
      <c r="FE158" s="36"/>
      <c r="FF158" s="36"/>
      <c r="FG158" s="36"/>
      <c r="FH158" s="36"/>
      <c r="FI158" s="36"/>
      <c r="FJ158" s="36"/>
      <c r="FK158" s="36"/>
      <c r="FL158" s="36"/>
      <c r="FM158" s="36"/>
      <c r="FN158" s="36"/>
      <c r="FO158" s="47"/>
      <c r="FP158" s="36"/>
      <c r="FQ158" s="36"/>
      <c r="FR158" s="36"/>
      <c r="FS158" s="36"/>
      <c r="FT158" s="36"/>
      <c r="FU158" s="36"/>
      <c r="FV158" s="36"/>
      <c r="FW158" s="36"/>
      <c r="FX158" s="36"/>
      <c r="FY158" s="36"/>
      <c r="FZ158" s="36"/>
      <c r="GA158" s="36"/>
      <c r="GB158" s="47"/>
      <c r="GC158" s="36"/>
      <c r="GD158" s="36"/>
      <c r="GE158" s="36"/>
      <c r="GF158" s="36"/>
      <c r="GG158" s="36"/>
      <c r="GH158" s="36"/>
      <c r="GI158" s="36"/>
      <c r="GJ158" s="36"/>
      <c r="GK158" s="36"/>
      <c r="GL158" s="36">
        <f t="shared" si="625"/>
        <v>962881</v>
      </c>
      <c r="GM158" s="36">
        <f t="shared" si="636"/>
        <v>1011945</v>
      </c>
      <c r="GN158" s="36">
        <f t="shared" si="647"/>
        <v>1067142</v>
      </c>
      <c r="GO158" s="47">
        <v>0</v>
      </c>
      <c r="GP158" s="36">
        <f>SUM(DC158:GO158)</f>
        <v>73755458</v>
      </c>
      <c r="GQ158" s="38">
        <f>GP158*(1+$E$11)^-24</f>
        <v>22869200.733999778</v>
      </c>
      <c r="GR158" s="38">
        <f t="shared" si="524"/>
        <v>108028433.569</v>
      </c>
      <c r="GS158" s="52">
        <f t="shared" si="512"/>
        <v>33496150.64784793</v>
      </c>
      <c r="GT158" s="9"/>
    </row>
    <row r="159" spans="1:202" ht="18.75">
      <c r="A159" s="9"/>
      <c r="B159" s="49">
        <v>2027</v>
      </c>
      <c r="C159" s="79" t="str">
        <f aca="true" t="shared" si="658" ref="C159:K159">C44</f>
        <v>a</v>
      </c>
      <c r="D159" s="79" t="str">
        <f t="shared" si="658"/>
        <v>a</v>
      </c>
      <c r="E159" s="79" t="str">
        <f t="shared" si="658"/>
        <v>a</v>
      </c>
      <c r="F159" s="79" t="str">
        <f t="shared" si="658"/>
        <v>a</v>
      </c>
      <c r="G159" s="79" t="str">
        <f t="shared" si="658"/>
        <v>a</v>
      </c>
      <c r="H159" s="79" t="str">
        <f t="shared" si="658"/>
        <v>a</v>
      </c>
      <c r="I159" s="79" t="str">
        <f t="shared" si="658"/>
        <v>a</v>
      </c>
      <c r="J159" s="79" t="str">
        <f t="shared" si="658"/>
        <v>a</v>
      </c>
      <c r="K159" s="80" t="str">
        <f t="shared" si="658"/>
        <v>a</v>
      </c>
      <c r="L159" s="36"/>
      <c r="M159" s="36"/>
      <c r="N159" s="36"/>
      <c r="O159" s="36"/>
      <c r="P159" s="36"/>
      <c r="Q159" s="36"/>
      <c r="R159" s="36"/>
      <c r="S159" s="36"/>
      <c r="T159" s="36"/>
      <c r="U159" s="36"/>
      <c r="V159" s="36"/>
      <c r="W159" s="36">
        <f t="shared" si="627"/>
        <v>1325206.5225</v>
      </c>
      <c r="X159" s="36">
        <f t="shared" si="638"/>
        <v>1385054.5590000001</v>
      </c>
      <c r="Y159" s="47">
        <f t="shared" si="649"/>
        <v>1450602.4085000001</v>
      </c>
      <c r="Z159" s="36"/>
      <c r="AA159" s="36"/>
      <c r="AB159" s="36"/>
      <c r="AC159" s="36"/>
      <c r="AD159" s="36"/>
      <c r="AE159" s="36"/>
      <c r="AF159" s="36"/>
      <c r="AG159" s="36"/>
      <c r="AH159" s="36"/>
      <c r="AI159" s="36"/>
      <c r="AJ159" s="36">
        <f t="shared" si="628"/>
        <v>461684.853</v>
      </c>
      <c r="AK159" s="36">
        <f t="shared" si="639"/>
        <v>475934.38550000003</v>
      </c>
      <c r="AL159" s="47">
        <f t="shared" si="650"/>
        <v>490183.918</v>
      </c>
      <c r="AM159" s="36"/>
      <c r="AN159" s="36"/>
      <c r="AO159" s="36"/>
      <c r="AP159" s="36"/>
      <c r="AQ159" s="36"/>
      <c r="AR159" s="36"/>
      <c r="AS159" s="36"/>
      <c r="AT159" s="36"/>
      <c r="AU159" s="36"/>
      <c r="AV159" s="36"/>
      <c r="AW159" s="36">
        <f t="shared" si="629"/>
        <v>6383790.5600000005</v>
      </c>
      <c r="AX159" s="36">
        <f t="shared" si="640"/>
        <v>6714379.714</v>
      </c>
      <c r="AY159" s="47">
        <v>0</v>
      </c>
      <c r="AZ159" s="36"/>
      <c r="BA159" s="36"/>
      <c r="BB159" s="36"/>
      <c r="BC159" s="36"/>
      <c r="BD159" s="36"/>
      <c r="BE159" s="36"/>
      <c r="BF159" s="36"/>
      <c r="BG159" s="36"/>
      <c r="BH159" s="36"/>
      <c r="BI159" s="36"/>
      <c r="BJ159" s="36">
        <f t="shared" si="630"/>
        <v>2128880.1555</v>
      </c>
      <c r="BK159" s="36">
        <f t="shared" si="641"/>
        <v>2237176.6025</v>
      </c>
      <c r="BL159" s="47">
        <v>0</v>
      </c>
      <c r="BM159" s="36"/>
      <c r="BN159" s="36"/>
      <c r="BO159" s="36"/>
      <c r="BP159" s="36"/>
      <c r="BQ159" s="36"/>
      <c r="BR159" s="36"/>
      <c r="BS159" s="36"/>
      <c r="BT159" s="36"/>
      <c r="BU159" s="36"/>
      <c r="BV159" s="36"/>
      <c r="BW159" s="36"/>
      <c r="BX159" s="36"/>
      <c r="BY159" s="47"/>
      <c r="BZ159" s="36"/>
      <c r="CA159" s="36"/>
      <c r="CB159" s="36"/>
      <c r="CC159" s="36"/>
      <c r="CD159" s="36"/>
      <c r="CE159" s="36"/>
      <c r="CF159" s="36"/>
      <c r="CG159" s="36"/>
      <c r="CH159" s="36"/>
      <c r="CI159" s="36"/>
      <c r="CJ159" s="36"/>
      <c r="CK159" s="36"/>
      <c r="CL159" s="47"/>
      <c r="CM159" s="36"/>
      <c r="CN159" s="36"/>
      <c r="CO159" s="36"/>
      <c r="CP159" s="36"/>
      <c r="CQ159" s="36"/>
      <c r="CR159" s="36"/>
      <c r="CS159" s="36"/>
      <c r="CT159" s="36"/>
      <c r="CU159" s="36"/>
      <c r="CV159" s="36"/>
      <c r="CW159" s="36">
        <f t="shared" si="631"/>
        <v>470234.5725</v>
      </c>
      <c r="CX159" s="36">
        <f t="shared" si="642"/>
        <v>495883.731</v>
      </c>
      <c r="CY159" s="36">
        <v>0</v>
      </c>
      <c r="CZ159" s="36">
        <f t="shared" si="511"/>
        <v>24019011.982</v>
      </c>
      <c r="DA159" s="38">
        <f>CZ159*(1+$E$10)^-25</f>
        <v>7092880.811726359</v>
      </c>
      <c r="DB159" s="78"/>
      <c r="DC159" s="36"/>
      <c r="DD159" s="36"/>
      <c r="DE159" s="36"/>
      <c r="DF159" s="36"/>
      <c r="DG159" s="36"/>
      <c r="DH159" s="36"/>
      <c r="DI159" s="36"/>
      <c r="DJ159" s="36"/>
      <c r="DK159" s="36"/>
      <c r="DL159" s="36"/>
      <c r="DM159" s="36">
        <f t="shared" si="632"/>
        <v>2851845</v>
      </c>
      <c r="DN159" s="36">
        <f t="shared" si="643"/>
        <v>2980638</v>
      </c>
      <c r="DO159" s="47">
        <f t="shared" si="651"/>
        <v>3121697</v>
      </c>
      <c r="DP159" s="36"/>
      <c r="DQ159" s="36"/>
      <c r="DR159" s="36"/>
      <c r="DS159" s="36"/>
      <c r="DT159" s="36"/>
      <c r="DU159" s="36"/>
      <c r="DV159" s="36"/>
      <c r="DW159" s="36"/>
      <c r="DX159" s="36"/>
      <c r="DY159" s="36"/>
      <c r="DZ159" s="36">
        <f t="shared" si="633"/>
        <v>993546</v>
      </c>
      <c r="EA159" s="36">
        <f t="shared" si="644"/>
        <v>1024211</v>
      </c>
      <c r="EB159" s="47">
        <f t="shared" si="652"/>
        <v>1054876</v>
      </c>
      <c r="EC159" s="36"/>
      <c r="ED159" s="36"/>
      <c r="EE159" s="36"/>
      <c r="EF159" s="36"/>
      <c r="EG159" s="36"/>
      <c r="EH159" s="36"/>
      <c r="EI159" s="36"/>
      <c r="EJ159" s="36"/>
      <c r="EK159" s="36"/>
      <c r="EL159" s="36"/>
      <c r="EM159" s="36">
        <f t="shared" si="634"/>
        <v>13737920</v>
      </c>
      <c r="EN159" s="36">
        <f t="shared" si="645"/>
        <v>14449348</v>
      </c>
      <c r="EO159" s="47">
        <v>0</v>
      </c>
      <c r="EP159" s="9"/>
      <c r="EQ159" s="36"/>
      <c r="ER159" s="36"/>
      <c r="ES159" s="36"/>
      <c r="ET159" s="36"/>
      <c r="EU159" s="36"/>
      <c r="EV159" s="36"/>
      <c r="EW159" s="36"/>
      <c r="EX159" s="36"/>
      <c r="EY159" s="36"/>
      <c r="EZ159" s="36">
        <f t="shared" si="635"/>
        <v>4581351</v>
      </c>
      <c r="FA159" s="36">
        <f t="shared" si="646"/>
        <v>4814405</v>
      </c>
      <c r="FB159" s="47">
        <v>0</v>
      </c>
      <c r="FC159" s="36"/>
      <c r="FD159" s="36"/>
      <c r="FE159" s="36"/>
      <c r="FF159" s="36"/>
      <c r="FG159" s="36"/>
      <c r="FH159" s="36"/>
      <c r="FI159" s="36"/>
      <c r="FJ159" s="36"/>
      <c r="FK159" s="36"/>
      <c r="FL159" s="36"/>
      <c r="FM159" s="36"/>
      <c r="FN159" s="36"/>
      <c r="FO159" s="47"/>
      <c r="FP159" s="36"/>
      <c r="FQ159" s="36"/>
      <c r="FR159" s="36"/>
      <c r="FS159" s="36"/>
      <c r="FT159" s="36"/>
      <c r="FU159" s="36"/>
      <c r="FV159" s="36"/>
      <c r="FW159" s="36"/>
      <c r="FX159" s="36"/>
      <c r="FY159" s="36"/>
      <c r="FZ159" s="36"/>
      <c r="GA159" s="36"/>
      <c r="GB159" s="47"/>
      <c r="GC159" s="36"/>
      <c r="GD159" s="36"/>
      <c r="GE159" s="36"/>
      <c r="GF159" s="36"/>
      <c r="GG159" s="36"/>
      <c r="GH159" s="36"/>
      <c r="GI159" s="36"/>
      <c r="GJ159" s="36"/>
      <c r="GK159" s="36"/>
      <c r="GL159" s="36"/>
      <c r="GM159" s="36">
        <f t="shared" si="636"/>
        <v>1011945</v>
      </c>
      <c r="GN159" s="36">
        <f t="shared" si="647"/>
        <v>1067142</v>
      </c>
      <c r="GO159" s="47">
        <v>0</v>
      </c>
      <c r="GP159" s="36">
        <f>SUM(DC159:GO159)</f>
        <v>51688924</v>
      </c>
      <c r="GQ159" s="38">
        <f>GP159*(1+$E$11)^-25</f>
        <v>15263882.523274975</v>
      </c>
      <c r="GR159" s="38">
        <f t="shared" si="524"/>
        <v>75707935.982</v>
      </c>
      <c r="GS159" s="52">
        <f t="shared" si="512"/>
        <v>22356763.335001335</v>
      </c>
      <c r="GT159" s="9"/>
    </row>
    <row r="160" spans="1:202" ht="18.75">
      <c r="A160" s="9"/>
      <c r="B160" s="49">
        <v>2028</v>
      </c>
      <c r="C160" s="79" t="str">
        <f aca="true" t="shared" si="659" ref="C160:K160">C45</f>
        <v>a</v>
      </c>
      <c r="D160" s="79" t="str">
        <f t="shared" si="659"/>
        <v>a</v>
      </c>
      <c r="E160" s="79" t="str">
        <f t="shared" si="659"/>
        <v>a</v>
      </c>
      <c r="F160" s="79" t="str">
        <f t="shared" si="659"/>
        <v>a</v>
      </c>
      <c r="G160" s="79" t="str">
        <f t="shared" si="659"/>
        <v>a</v>
      </c>
      <c r="H160" s="79" t="str">
        <f t="shared" si="659"/>
        <v>a</v>
      </c>
      <c r="I160" s="79" t="str">
        <f t="shared" si="659"/>
        <v>a</v>
      </c>
      <c r="J160" s="79" t="str">
        <f t="shared" si="659"/>
        <v>a</v>
      </c>
      <c r="K160" s="80" t="str">
        <f t="shared" si="659"/>
        <v>a</v>
      </c>
      <c r="L160" s="36"/>
      <c r="M160" s="36"/>
      <c r="N160" s="36"/>
      <c r="O160" s="36"/>
      <c r="P160" s="36"/>
      <c r="Q160" s="36"/>
      <c r="R160" s="36"/>
      <c r="S160" s="36"/>
      <c r="T160" s="36"/>
      <c r="U160" s="36"/>
      <c r="V160" s="36"/>
      <c r="W160" s="36"/>
      <c r="X160" s="36">
        <f t="shared" si="638"/>
        <v>1385054.5590000001</v>
      </c>
      <c r="Y160" s="47">
        <f t="shared" si="649"/>
        <v>1450602.4085000001</v>
      </c>
      <c r="Z160" s="36"/>
      <c r="AA160" s="36"/>
      <c r="AB160" s="36"/>
      <c r="AC160" s="36"/>
      <c r="AD160" s="36"/>
      <c r="AE160" s="36"/>
      <c r="AF160" s="36"/>
      <c r="AG160" s="36"/>
      <c r="AH160" s="36"/>
      <c r="AI160" s="36"/>
      <c r="AJ160" s="36"/>
      <c r="AK160" s="36">
        <f t="shared" si="639"/>
        <v>475934.38550000003</v>
      </c>
      <c r="AL160" s="47">
        <f t="shared" si="650"/>
        <v>490183.918</v>
      </c>
      <c r="AM160" s="36"/>
      <c r="AN160" s="36"/>
      <c r="AO160" s="36"/>
      <c r="AP160" s="36"/>
      <c r="AQ160" s="36"/>
      <c r="AR160" s="36"/>
      <c r="AS160" s="36"/>
      <c r="AT160" s="36"/>
      <c r="AU160" s="36"/>
      <c r="AV160" s="36"/>
      <c r="AW160" s="36"/>
      <c r="AX160" s="36">
        <f t="shared" si="640"/>
        <v>6714379.714</v>
      </c>
      <c r="AY160" s="47">
        <v>0</v>
      </c>
      <c r="AZ160" s="36"/>
      <c r="BA160" s="36"/>
      <c r="BB160" s="36"/>
      <c r="BC160" s="36"/>
      <c r="BD160" s="36"/>
      <c r="BE160" s="36"/>
      <c r="BF160" s="36"/>
      <c r="BG160" s="36"/>
      <c r="BH160" s="36"/>
      <c r="BI160" s="36"/>
      <c r="BJ160" s="36"/>
      <c r="BK160" s="36">
        <f t="shared" si="641"/>
        <v>2237176.6025</v>
      </c>
      <c r="BL160" s="47">
        <v>0</v>
      </c>
      <c r="BM160" s="36"/>
      <c r="BN160" s="36"/>
      <c r="BO160" s="36"/>
      <c r="BP160" s="36"/>
      <c r="BQ160" s="36"/>
      <c r="BR160" s="36"/>
      <c r="BS160" s="36"/>
      <c r="BT160" s="36"/>
      <c r="BU160" s="36"/>
      <c r="BV160" s="36"/>
      <c r="BW160" s="36"/>
      <c r="BX160" s="36"/>
      <c r="BY160" s="47"/>
      <c r="BZ160" s="36"/>
      <c r="CA160" s="36"/>
      <c r="CB160" s="36"/>
      <c r="CC160" s="36"/>
      <c r="CD160" s="36"/>
      <c r="CE160" s="36"/>
      <c r="CF160" s="36"/>
      <c r="CG160" s="36"/>
      <c r="CH160" s="36"/>
      <c r="CI160" s="36"/>
      <c r="CJ160" s="36"/>
      <c r="CK160" s="36"/>
      <c r="CL160" s="47"/>
      <c r="CM160" s="36"/>
      <c r="CN160" s="36"/>
      <c r="CO160" s="36"/>
      <c r="CP160" s="36"/>
      <c r="CQ160" s="36"/>
      <c r="CR160" s="36"/>
      <c r="CS160" s="36"/>
      <c r="CT160" s="36"/>
      <c r="CU160" s="36"/>
      <c r="CV160" s="36"/>
      <c r="CW160" s="36"/>
      <c r="CX160" s="36">
        <f t="shared" si="642"/>
        <v>495883.731</v>
      </c>
      <c r="CY160" s="36">
        <v>0</v>
      </c>
      <c r="CZ160" s="36">
        <f t="shared" si="511"/>
        <v>13249215.3185</v>
      </c>
      <c r="DA160" s="38">
        <f>CZ160*(1+$E$10)^-26</f>
        <v>3726219.053689045</v>
      </c>
      <c r="DB160" s="78"/>
      <c r="DC160" s="36"/>
      <c r="DD160" s="36"/>
      <c r="DE160" s="36"/>
      <c r="DF160" s="36"/>
      <c r="DG160" s="36"/>
      <c r="DH160" s="36"/>
      <c r="DI160" s="36"/>
      <c r="DJ160" s="36"/>
      <c r="DK160" s="36"/>
      <c r="DL160" s="36"/>
      <c r="DM160" s="36"/>
      <c r="DN160" s="36">
        <f t="shared" si="643"/>
        <v>2980638</v>
      </c>
      <c r="DO160" s="47">
        <f t="shared" si="651"/>
        <v>3121697</v>
      </c>
      <c r="DP160" s="36"/>
      <c r="DQ160" s="36"/>
      <c r="DR160" s="36"/>
      <c r="DS160" s="36"/>
      <c r="DT160" s="36"/>
      <c r="DU160" s="36"/>
      <c r="DV160" s="36"/>
      <c r="DW160" s="36"/>
      <c r="DX160" s="36"/>
      <c r="DY160" s="36"/>
      <c r="DZ160" s="36"/>
      <c r="EA160" s="36">
        <f t="shared" si="644"/>
        <v>1024211</v>
      </c>
      <c r="EB160" s="47">
        <f t="shared" si="652"/>
        <v>1054876</v>
      </c>
      <c r="EC160" s="36"/>
      <c r="ED160" s="36"/>
      <c r="EE160" s="36"/>
      <c r="EF160" s="36"/>
      <c r="EG160" s="36"/>
      <c r="EH160" s="36"/>
      <c r="EI160" s="36"/>
      <c r="EJ160" s="36"/>
      <c r="EK160" s="36"/>
      <c r="EL160" s="36"/>
      <c r="EM160" s="36"/>
      <c r="EN160" s="36">
        <f t="shared" si="645"/>
        <v>14449348</v>
      </c>
      <c r="EO160" s="47">
        <v>0</v>
      </c>
      <c r="EP160" s="9"/>
      <c r="EQ160" s="36"/>
      <c r="ER160" s="36"/>
      <c r="ES160" s="36"/>
      <c r="ET160" s="36"/>
      <c r="EU160" s="36"/>
      <c r="EV160" s="36"/>
      <c r="EW160" s="36"/>
      <c r="EX160" s="36"/>
      <c r="EY160" s="36"/>
      <c r="EZ160" s="36"/>
      <c r="FA160" s="36">
        <f t="shared" si="646"/>
        <v>4814405</v>
      </c>
      <c r="FB160" s="47">
        <v>0</v>
      </c>
      <c r="FC160" s="36"/>
      <c r="FD160" s="36"/>
      <c r="FE160" s="36"/>
      <c r="FF160" s="36"/>
      <c r="FG160" s="36"/>
      <c r="FH160" s="36"/>
      <c r="FI160" s="36"/>
      <c r="FJ160" s="36"/>
      <c r="FK160" s="36"/>
      <c r="FL160" s="36"/>
      <c r="FM160" s="36"/>
      <c r="FN160" s="36"/>
      <c r="FO160" s="47"/>
      <c r="FP160" s="36"/>
      <c r="FQ160" s="36"/>
      <c r="FR160" s="36"/>
      <c r="FS160" s="36"/>
      <c r="FT160" s="36"/>
      <c r="FU160" s="36"/>
      <c r="FV160" s="36"/>
      <c r="FW160" s="36"/>
      <c r="FX160" s="36"/>
      <c r="FY160" s="36"/>
      <c r="FZ160" s="36"/>
      <c r="GA160" s="36"/>
      <c r="GB160" s="47"/>
      <c r="GC160" s="36"/>
      <c r="GD160" s="36"/>
      <c r="GE160" s="36"/>
      <c r="GF160" s="36"/>
      <c r="GG160" s="36"/>
      <c r="GH160" s="36"/>
      <c r="GI160" s="36"/>
      <c r="GJ160" s="36"/>
      <c r="GK160" s="36"/>
      <c r="GL160" s="36"/>
      <c r="GM160" s="36"/>
      <c r="GN160" s="36">
        <f t="shared" si="647"/>
        <v>1067142</v>
      </c>
      <c r="GO160" s="47">
        <v>0</v>
      </c>
      <c r="GP160" s="36">
        <f>SUM(DC160:GO160)</f>
        <v>28512317</v>
      </c>
      <c r="GQ160" s="38">
        <f>GP160*(1+$E$11)^-26</f>
        <v>8018824.988214496</v>
      </c>
      <c r="GR160" s="38">
        <f t="shared" si="524"/>
        <v>41761532.3185</v>
      </c>
      <c r="GS160" s="52">
        <f t="shared" si="512"/>
        <v>11745044.04190354</v>
      </c>
      <c r="GT160" s="9"/>
    </row>
    <row r="161" spans="1:202" ht="18.75">
      <c r="A161" s="9"/>
      <c r="B161" s="49">
        <v>2029</v>
      </c>
      <c r="C161" s="79" t="str">
        <f aca="true" t="shared" si="660" ref="C161:K161">C46</f>
        <v>a</v>
      </c>
      <c r="D161" s="79" t="str">
        <f t="shared" si="660"/>
        <v>a</v>
      </c>
      <c r="E161" s="79" t="str">
        <f t="shared" si="660"/>
        <v>a</v>
      </c>
      <c r="F161" s="79" t="str">
        <f t="shared" si="660"/>
        <v>a</v>
      </c>
      <c r="G161" s="79" t="str">
        <f t="shared" si="660"/>
        <v>a</v>
      </c>
      <c r="H161" s="79" t="str">
        <f t="shared" si="660"/>
        <v>a</v>
      </c>
      <c r="I161" s="79" t="str">
        <f t="shared" si="660"/>
        <v>a</v>
      </c>
      <c r="J161" s="79" t="str">
        <f t="shared" si="660"/>
        <v>a</v>
      </c>
      <c r="K161" s="80" t="str">
        <f t="shared" si="660"/>
        <v>a</v>
      </c>
      <c r="L161" s="36"/>
      <c r="M161" s="36"/>
      <c r="N161" s="36"/>
      <c r="O161" s="36"/>
      <c r="P161" s="36"/>
      <c r="Q161" s="36"/>
      <c r="R161" s="36"/>
      <c r="S161" s="36"/>
      <c r="T161" s="36"/>
      <c r="U161" s="36"/>
      <c r="V161" s="36"/>
      <c r="W161" s="36"/>
      <c r="X161" s="36"/>
      <c r="Y161" s="47">
        <f t="shared" si="649"/>
        <v>1450602.4085000001</v>
      </c>
      <c r="Z161" s="36"/>
      <c r="AA161" s="36"/>
      <c r="AB161" s="36"/>
      <c r="AC161" s="36"/>
      <c r="AD161" s="36"/>
      <c r="AE161" s="36"/>
      <c r="AF161" s="36"/>
      <c r="AG161" s="36"/>
      <c r="AH161" s="36"/>
      <c r="AI161" s="36"/>
      <c r="AJ161" s="36"/>
      <c r="AK161" s="36"/>
      <c r="AL161" s="47">
        <f t="shared" si="650"/>
        <v>490183.918</v>
      </c>
      <c r="AM161" s="36"/>
      <c r="AN161" s="36"/>
      <c r="AO161" s="36"/>
      <c r="AP161" s="36"/>
      <c r="AQ161" s="36"/>
      <c r="AR161" s="36"/>
      <c r="AS161" s="36"/>
      <c r="AT161" s="36"/>
      <c r="AU161" s="36"/>
      <c r="AV161" s="36"/>
      <c r="AW161" s="36"/>
      <c r="AX161" s="36"/>
      <c r="AY161" s="47">
        <v>0</v>
      </c>
      <c r="AZ161" s="36"/>
      <c r="BA161" s="36"/>
      <c r="BB161" s="36"/>
      <c r="BC161" s="36"/>
      <c r="BD161" s="36"/>
      <c r="BE161" s="36"/>
      <c r="BF161" s="36"/>
      <c r="BG161" s="36"/>
      <c r="BH161" s="36"/>
      <c r="BI161" s="36"/>
      <c r="BJ161" s="36"/>
      <c r="BK161" s="36"/>
      <c r="BL161" s="47">
        <v>0</v>
      </c>
      <c r="BM161" s="36"/>
      <c r="BN161" s="36"/>
      <c r="BO161" s="36"/>
      <c r="BP161" s="36"/>
      <c r="BQ161" s="36"/>
      <c r="BR161" s="36"/>
      <c r="BS161" s="36"/>
      <c r="BT161" s="36"/>
      <c r="BU161" s="36"/>
      <c r="BV161" s="36"/>
      <c r="BW161" s="36"/>
      <c r="BX161" s="36"/>
      <c r="BY161" s="47"/>
      <c r="BZ161" s="36"/>
      <c r="CA161" s="36"/>
      <c r="CB161" s="36"/>
      <c r="CC161" s="36"/>
      <c r="CD161" s="36"/>
      <c r="CE161" s="36"/>
      <c r="CF161" s="36"/>
      <c r="CG161" s="36"/>
      <c r="CH161" s="36"/>
      <c r="CI161" s="36"/>
      <c r="CJ161" s="36"/>
      <c r="CK161" s="36"/>
      <c r="CL161" s="47"/>
      <c r="CM161" s="36"/>
      <c r="CN161" s="36"/>
      <c r="CO161" s="36"/>
      <c r="CP161" s="36"/>
      <c r="CQ161" s="36"/>
      <c r="CR161" s="36"/>
      <c r="CS161" s="36"/>
      <c r="CT161" s="36"/>
      <c r="CU161" s="36"/>
      <c r="CV161" s="36"/>
      <c r="CW161" s="36"/>
      <c r="CX161" s="36"/>
      <c r="CY161" s="36">
        <v>0</v>
      </c>
      <c r="CZ161" s="36">
        <f t="shared" si="511"/>
        <v>1940786.3265000002</v>
      </c>
      <c r="DA161" s="38">
        <f>CZ161*(1+$E$10)^-27</f>
        <v>519836.3550916715</v>
      </c>
      <c r="DB161" s="78"/>
      <c r="DC161" s="36"/>
      <c r="DD161" s="36"/>
      <c r="DE161" s="36"/>
      <c r="DF161" s="36"/>
      <c r="DG161" s="36"/>
      <c r="DH161" s="36"/>
      <c r="DI161" s="36"/>
      <c r="DJ161" s="36"/>
      <c r="DK161" s="36"/>
      <c r="DL161" s="36"/>
      <c r="DM161" s="36"/>
      <c r="DN161" s="36"/>
      <c r="DO161" s="47">
        <f t="shared" si="651"/>
        <v>3121697</v>
      </c>
      <c r="DP161" s="36"/>
      <c r="DQ161" s="36"/>
      <c r="DR161" s="36"/>
      <c r="DS161" s="36"/>
      <c r="DT161" s="36"/>
      <c r="DU161" s="36"/>
      <c r="DV161" s="36"/>
      <c r="DW161" s="36"/>
      <c r="DX161" s="36"/>
      <c r="DY161" s="36"/>
      <c r="DZ161" s="36"/>
      <c r="EA161" s="36"/>
      <c r="EB161" s="47">
        <f t="shared" si="652"/>
        <v>1054876</v>
      </c>
      <c r="EC161" s="36"/>
      <c r="ED161" s="36"/>
      <c r="EE161" s="36"/>
      <c r="EF161" s="36"/>
      <c r="EG161" s="36"/>
      <c r="EH161" s="36"/>
      <c r="EI161" s="36"/>
      <c r="EJ161" s="36"/>
      <c r="EK161" s="36"/>
      <c r="EL161" s="36"/>
      <c r="EM161" s="36"/>
      <c r="EN161" s="36"/>
      <c r="EO161" s="47">
        <v>0</v>
      </c>
      <c r="EP161" s="9"/>
      <c r="EQ161" s="36"/>
      <c r="ER161" s="36"/>
      <c r="ES161" s="36"/>
      <c r="ET161" s="36"/>
      <c r="EU161" s="36"/>
      <c r="EV161" s="36"/>
      <c r="EW161" s="36"/>
      <c r="EX161" s="36"/>
      <c r="EY161" s="36"/>
      <c r="EZ161" s="36"/>
      <c r="FA161" s="36"/>
      <c r="FB161" s="47">
        <v>0</v>
      </c>
      <c r="FC161" s="36"/>
      <c r="FD161" s="36"/>
      <c r="FE161" s="36"/>
      <c r="FF161" s="36"/>
      <c r="FG161" s="36"/>
      <c r="FH161" s="36"/>
      <c r="FI161" s="36"/>
      <c r="FJ161" s="36"/>
      <c r="FK161" s="36"/>
      <c r="FL161" s="36"/>
      <c r="FM161" s="36"/>
      <c r="FN161" s="36"/>
      <c r="FO161" s="47"/>
      <c r="FP161" s="36"/>
      <c r="FQ161" s="36"/>
      <c r="FR161" s="36"/>
      <c r="FS161" s="36"/>
      <c r="FT161" s="36"/>
      <c r="FU161" s="36"/>
      <c r="FV161" s="36"/>
      <c r="FW161" s="36"/>
      <c r="FX161" s="36"/>
      <c r="FY161" s="36"/>
      <c r="FZ161" s="36"/>
      <c r="GA161" s="36"/>
      <c r="GB161" s="47"/>
      <c r="GC161" s="36"/>
      <c r="GD161" s="36"/>
      <c r="GE161" s="36"/>
      <c r="GF161" s="36"/>
      <c r="GG161" s="36"/>
      <c r="GH161" s="36"/>
      <c r="GI161" s="36"/>
      <c r="GJ161" s="36"/>
      <c r="GK161" s="36"/>
      <c r="GL161" s="36"/>
      <c r="GM161" s="36"/>
      <c r="GN161" s="36"/>
      <c r="GO161" s="47">
        <v>0</v>
      </c>
      <c r="GP161" s="36">
        <f>SUM(DC161:GO161)</f>
        <v>4176573</v>
      </c>
      <c r="GQ161" s="38">
        <f>GP161*(1+$E$11)^-27</f>
        <v>1118688.0572317797</v>
      </c>
      <c r="GR161" s="38">
        <f t="shared" si="524"/>
        <v>6117359.3265</v>
      </c>
      <c r="GS161" s="52">
        <f t="shared" si="512"/>
        <v>1638524.4123234511</v>
      </c>
      <c r="GT161" s="9"/>
    </row>
    <row r="162" spans="1:202" ht="15.75" customHeight="1">
      <c r="A162" s="9"/>
      <c r="B162" s="66"/>
      <c r="C162" s="79"/>
      <c r="D162" s="79"/>
      <c r="E162" s="79"/>
      <c r="F162" s="79"/>
      <c r="G162" s="79"/>
      <c r="H162" s="79"/>
      <c r="I162" s="79"/>
      <c r="J162" s="79"/>
      <c r="K162" s="83">
        <f>SUM(K140:K152)</f>
        <v>59014</v>
      </c>
      <c r="L162" s="36" t="s">
        <v>2</v>
      </c>
      <c r="M162" s="36"/>
      <c r="N162" s="36"/>
      <c r="O162" s="36"/>
      <c r="P162" s="36"/>
      <c r="Q162" s="36"/>
      <c r="R162" s="36"/>
      <c r="S162" s="36"/>
      <c r="T162" s="36"/>
      <c r="U162" s="36"/>
      <c r="V162" s="36"/>
      <c r="W162" s="36"/>
      <c r="X162" s="36"/>
      <c r="Y162" s="81"/>
      <c r="Z162" s="36"/>
      <c r="AA162" s="36"/>
      <c r="AB162" s="36"/>
      <c r="AC162" s="36"/>
      <c r="AD162" s="36"/>
      <c r="AE162" s="36"/>
      <c r="AF162" s="36"/>
      <c r="AG162" s="36"/>
      <c r="AH162" s="36"/>
      <c r="AI162" s="36"/>
      <c r="AJ162" s="36"/>
      <c r="AK162" s="36"/>
      <c r="AL162" s="81"/>
      <c r="AM162" s="36"/>
      <c r="AN162" s="36"/>
      <c r="AO162" s="36"/>
      <c r="AP162" s="36"/>
      <c r="AQ162" s="36"/>
      <c r="AR162" s="36"/>
      <c r="AS162" s="36"/>
      <c r="AT162" s="36"/>
      <c r="AU162" s="36"/>
      <c r="AV162" s="36"/>
      <c r="AW162" s="36"/>
      <c r="AX162" s="36"/>
      <c r="AY162" s="81"/>
      <c r="AZ162" s="9"/>
      <c r="BA162" s="36"/>
      <c r="BB162" s="36"/>
      <c r="BC162" s="36"/>
      <c r="BD162" s="36"/>
      <c r="BE162" s="36"/>
      <c r="BF162" s="36"/>
      <c r="BG162" s="36"/>
      <c r="BH162" s="36"/>
      <c r="BI162" s="36"/>
      <c r="BJ162" s="36"/>
      <c r="BK162" s="36"/>
      <c r="BL162" s="81"/>
      <c r="BM162" s="36"/>
      <c r="BN162" s="36"/>
      <c r="BO162" s="36"/>
      <c r="BP162" s="36"/>
      <c r="BQ162" s="36"/>
      <c r="BR162" s="36"/>
      <c r="BS162" s="36"/>
      <c r="BT162" s="36"/>
      <c r="BU162" s="36"/>
      <c r="BV162" s="36"/>
      <c r="BW162" s="36"/>
      <c r="BX162" s="36"/>
      <c r="BY162" s="81"/>
      <c r="BZ162" s="36"/>
      <c r="CA162" s="36"/>
      <c r="CB162" s="36"/>
      <c r="CC162" s="36"/>
      <c r="CD162" s="36"/>
      <c r="CE162" s="36"/>
      <c r="CF162" s="36"/>
      <c r="CG162" s="36"/>
      <c r="CH162" s="36"/>
      <c r="CI162" s="36"/>
      <c r="CJ162" s="36"/>
      <c r="CK162" s="36"/>
      <c r="CL162" s="81"/>
      <c r="CM162" s="36"/>
      <c r="CN162" s="36"/>
      <c r="CO162" s="36"/>
      <c r="CP162" s="36"/>
      <c r="CQ162" s="36"/>
      <c r="CR162" s="36"/>
      <c r="CS162" s="36"/>
      <c r="CT162" s="36"/>
      <c r="CU162" s="36"/>
      <c r="CV162" s="36"/>
      <c r="CW162" s="32" t="s">
        <v>93</v>
      </c>
      <c r="CX162" s="32"/>
      <c r="CY162" s="36"/>
      <c r="CZ162" s="36"/>
      <c r="DA162" s="61">
        <f>SUM(DA140:DA152)</f>
        <v>634252226.7460196</v>
      </c>
      <c r="DB162" s="81"/>
      <c r="DC162" s="36"/>
      <c r="DD162" s="36"/>
      <c r="DE162" s="36"/>
      <c r="DF162" s="36"/>
      <c r="DG162" s="36"/>
      <c r="DH162" s="36"/>
      <c r="DI162" s="36"/>
      <c r="DJ162" s="36"/>
      <c r="DK162" s="36"/>
      <c r="DL162" s="36"/>
      <c r="DM162" s="36"/>
      <c r="DN162" s="36"/>
      <c r="DO162" s="81"/>
      <c r="DP162" s="36"/>
      <c r="DQ162" s="36"/>
      <c r="DR162" s="36"/>
      <c r="DS162" s="36"/>
      <c r="DT162" s="36"/>
      <c r="DU162" s="36"/>
      <c r="DV162" s="36"/>
      <c r="DW162" s="36"/>
      <c r="DX162" s="36"/>
      <c r="DY162" s="36"/>
      <c r="DZ162" s="36"/>
      <c r="EA162" s="36"/>
      <c r="EB162" s="81"/>
      <c r="EC162" s="36"/>
      <c r="ED162" s="36"/>
      <c r="EE162" s="36"/>
      <c r="EF162" s="36"/>
      <c r="EG162" s="36"/>
      <c r="EH162" s="36"/>
      <c r="EI162" s="36"/>
      <c r="EJ162" s="36"/>
      <c r="EK162" s="36"/>
      <c r="EL162" s="36"/>
      <c r="EM162" s="36"/>
      <c r="EN162" s="36"/>
      <c r="EO162" s="81"/>
      <c r="EP162" s="9"/>
      <c r="EQ162" s="36"/>
      <c r="ER162" s="36"/>
      <c r="ES162" s="36"/>
      <c r="ET162" s="36"/>
      <c r="EU162" s="36"/>
      <c r="EV162" s="36"/>
      <c r="EW162" s="36"/>
      <c r="EX162" s="36"/>
      <c r="EY162" s="36"/>
      <c r="EZ162" s="36"/>
      <c r="FA162" s="36"/>
      <c r="FB162" s="81"/>
      <c r="FC162" s="36"/>
      <c r="FD162" s="36"/>
      <c r="FE162" s="36"/>
      <c r="FF162" s="36"/>
      <c r="FG162" s="36"/>
      <c r="FH162" s="36"/>
      <c r="FI162" s="36"/>
      <c r="FJ162" s="36"/>
      <c r="FK162" s="36"/>
      <c r="FL162" s="36"/>
      <c r="FM162" s="36"/>
      <c r="FN162" s="36"/>
      <c r="FO162" s="81"/>
      <c r="FP162" s="36"/>
      <c r="FQ162" s="36"/>
      <c r="FR162" s="36"/>
      <c r="FS162" s="36"/>
      <c r="FT162" s="36"/>
      <c r="FU162" s="36"/>
      <c r="FV162" s="36"/>
      <c r="FW162" s="36"/>
      <c r="FX162" s="36"/>
      <c r="FY162" s="36"/>
      <c r="FZ162" s="36"/>
      <c r="GA162" s="36"/>
      <c r="GB162" s="81"/>
      <c r="GC162" s="36"/>
      <c r="GD162" s="36"/>
      <c r="GE162" s="36"/>
      <c r="GF162" s="36"/>
      <c r="GG162" s="36"/>
      <c r="GH162" s="36"/>
      <c r="GI162" s="36"/>
      <c r="GJ162" s="36"/>
      <c r="GK162" s="36"/>
      <c r="GL162" s="32" t="s">
        <v>90</v>
      </c>
      <c r="GM162" s="32"/>
      <c r="GN162" s="9"/>
      <c r="GO162" s="36"/>
      <c r="GP162" s="36"/>
      <c r="GQ162" s="61">
        <f>SUM(GQ140:GQ152)</f>
        <v>1364911061.6903877</v>
      </c>
      <c r="GR162" s="61"/>
      <c r="GS162" s="81"/>
      <c r="GT162" s="9"/>
    </row>
    <row r="163" spans="1:202" ht="15.75" customHeight="1">
      <c r="A163" s="9"/>
      <c r="B163" s="66"/>
      <c r="C163" s="79"/>
      <c r="D163" s="79"/>
      <c r="E163" s="79"/>
      <c r="F163" s="79"/>
      <c r="G163" s="79"/>
      <c r="H163" s="79"/>
      <c r="I163" s="79"/>
      <c r="J163" s="79"/>
      <c r="K163" s="83"/>
      <c r="L163" s="36"/>
      <c r="M163" s="36"/>
      <c r="N163" s="36"/>
      <c r="O163" s="36"/>
      <c r="P163" s="36"/>
      <c r="Q163" s="36"/>
      <c r="R163" s="36"/>
      <c r="S163" s="36"/>
      <c r="T163" s="36"/>
      <c r="U163" s="36"/>
      <c r="V163" s="36"/>
      <c r="W163" s="36"/>
      <c r="X163" s="36"/>
      <c r="Y163" s="81"/>
      <c r="Z163" s="36"/>
      <c r="AA163" s="36"/>
      <c r="AB163" s="36"/>
      <c r="AC163" s="36"/>
      <c r="AD163" s="36"/>
      <c r="AE163" s="36"/>
      <c r="AF163" s="36"/>
      <c r="AG163" s="36"/>
      <c r="AH163" s="36"/>
      <c r="AI163" s="36"/>
      <c r="AJ163" s="36"/>
      <c r="AK163" s="36"/>
      <c r="AL163" s="81"/>
      <c r="AM163" s="36"/>
      <c r="AN163" s="36"/>
      <c r="AO163" s="36"/>
      <c r="AP163" s="36"/>
      <c r="AQ163" s="36"/>
      <c r="AR163" s="36"/>
      <c r="AS163" s="36"/>
      <c r="AT163" s="36"/>
      <c r="AU163" s="36"/>
      <c r="AV163" s="36"/>
      <c r="AW163" s="36"/>
      <c r="AX163" s="36"/>
      <c r="AY163" s="81"/>
      <c r="AZ163" s="9"/>
      <c r="BA163" s="36"/>
      <c r="BB163" s="36"/>
      <c r="BC163" s="36"/>
      <c r="BD163" s="36"/>
      <c r="BE163" s="36"/>
      <c r="BF163" s="36"/>
      <c r="BG163" s="36"/>
      <c r="BH163" s="36"/>
      <c r="BI163" s="36"/>
      <c r="BJ163" s="36"/>
      <c r="BK163" s="36"/>
      <c r="BL163" s="81"/>
      <c r="BM163" s="36"/>
      <c r="BN163" s="36"/>
      <c r="BO163" s="36"/>
      <c r="BP163" s="36"/>
      <c r="BQ163" s="36"/>
      <c r="BR163" s="36"/>
      <c r="BS163" s="36"/>
      <c r="BT163" s="36"/>
      <c r="BU163" s="36"/>
      <c r="BV163" s="36"/>
      <c r="BW163" s="36"/>
      <c r="BX163" s="36"/>
      <c r="BY163" s="81"/>
      <c r="BZ163" s="36"/>
      <c r="CA163" s="36"/>
      <c r="CB163" s="36"/>
      <c r="CC163" s="36"/>
      <c r="CD163" s="36"/>
      <c r="CE163" s="36"/>
      <c r="CF163" s="36"/>
      <c r="CG163" s="36"/>
      <c r="CH163" s="36"/>
      <c r="CI163" s="36"/>
      <c r="CJ163" s="36"/>
      <c r="CK163" s="36"/>
      <c r="CL163" s="81"/>
      <c r="CM163" s="36"/>
      <c r="CN163" s="36"/>
      <c r="CO163" s="36"/>
      <c r="CP163" s="36"/>
      <c r="CQ163" s="36"/>
      <c r="CR163" s="36"/>
      <c r="CS163" s="36"/>
      <c r="CT163" s="36"/>
      <c r="CU163" s="36"/>
      <c r="CV163" s="36"/>
      <c r="CW163" s="36"/>
      <c r="CX163" s="36"/>
      <c r="CY163" s="36"/>
      <c r="CZ163" s="36"/>
      <c r="DA163" s="61"/>
      <c r="DB163" s="81"/>
      <c r="DC163" s="36"/>
      <c r="DD163" s="36"/>
      <c r="DE163" s="36"/>
      <c r="DF163" s="36"/>
      <c r="DG163" s="36"/>
      <c r="DH163" s="36"/>
      <c r="DI163" s="36"/>
      <c r="DJ163" s="36"/>
      <c r="DK163" s="36"/>
      <c r="DL163" s="36"/>
      <c r="DM163" s="36"/>
      <c r="DN163" s="36"/>
      <c r="DO163" s="81"/>
      <c r="DP163" s="36"/>
      <c r="DQ163" s="36"/>
      <c r="DR163" s="36"/>
      <c r="DS163" s="36"/>
      <c r="DT163" s="36"/>
      <c r="DU163" s="36"/>
      <c r="DV163" s="36"/>
      <c r="DW163" s="36"/>
      <c r="DX163" s="36"/>
      <c r="DY163" s="36"/>
      <c r="DZ163" s="36"/>
      <c r="EA163" s="36"/>
      <c r="EB163" s="81"/>
      <c r="EC163" s="36"/>
      <c r="ED163" s="36"/>
      <c r="EE163" s="36"/>
      <c r="EF163" s="36"/>
      <c r="EG163" s="36"/>
      <c r="EH163" s="36"/>
      <c r="EI163" s="36"/>
      <c r="EJ163" s="36"/>
      <c r="EK163" s="36"/>
      <c r="EL163" s="36"/>
      <c r="EM163" s="36"/>
      <c r="EN163" s="36"/>
      <c r="EO163" s="81"/>
      <c r="EP163" s="9"/>
      <c r="EQ163" s="36"/>
      <c r="ER163" s="36"/>
      <c r="ES163" s="36"/>
      <c r="ET163" s="36"/>
      <c r="EU163" s="36"/>
      <c r="EV163" s="36"/>
      <c r="EW163" s="36"/>
      <c r="EX163" s="36"/>
      <c r="EY163" s="36"/>
      <c r="EZ163" s="36"/>
      <c r="FA163" s="36"/>
      <c r="FB163" s="81"/>
      <c r="FC163" s="36"/>
      <c r="FD163" s="36"/>
      <c r="FE163" s="36"/>
      <c r="FF163" s="36"/>
      <c r="FG163" s="36"/>
      <c r="FH163" s="36"/>
      <c r="FI163" s="36"/>
      <c r="FJ163" s="36"/>
      <c r="FK163" s="36"/>
      <c r="FL163" s="36"/>
      <c r="FM163" s="36"/>
      <c r="FN163" s="36"/>
      <c r="FO163" s="81"/>
      <c r="FP163" s="36"/>
      <c r="FQ163" s="36"/>
      <c r="FR163" s="36"/>
      <c r="FS163" s="36"/>
      <c r="FT163" s="36"/>
      <c r="FU163" s="36"/>
      <c r="FV163" s="36"/>
      <c r="FW163" s="36"/>
      <c r="FX163" s="36"/>
      <c r="FY163" s="36"/>
      <c r="FZ163" s="36"/>
      <c r="GA163" s="36"/>
      <c r="GB163" s="81"/>
      <c r="GC163" s="36"/>
      <c r="GD163" s="36"/>
      <c r="GE163" s="36"/>
      <c r="GF163" s="36"/>
      <c r="GG163" s="36"/>
      <c r="GH163" s="36"/>
      <c r="GI163" s="36"/>
      <c r="GJ163" s="36"/>
      <c r="GK163" s="36"/>
      <c r="GL163" s="36"/>
      <c r="GM163" s="36"/>
      <c r="GN163" s="36"/>
      <c r="GO163" s="81"/>
      <c r="GP163" s="36"/>
      <c r="GQ163" s="81"/>
      <c r="GR163" s="81"/>
      <c r="GS163" s="81"/>
      <c r="GT163" s="9"/>
    </row>
    <row r="164" spans="1:202" ht="18.75">
      <c r="A164" s="54" t="s">
        <v>41</v>
      </c>
      <c r="B164" s="68"/>
      <c r="C164" s="9"/>
      <c r="D164" s="9"/>
      <c r="E164" s="9"/>
      <c r="F164" s="9"/>
      <c r="G164" s="9"/>
      <c r="H164" s="9"/>
      <c r="I164" s="9"/>
      <c r="J164" s="9"/>
      <c r="K164" s="9"/>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Y164" s="36"/>
      <c r="CZ164" s="36"/>
      <c r="DB164" s="9"/>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6"/>
      <c r="FU164" s="36"/>
      <c r="FV164" s="36"/>
      <c r="FW164" s="36"/>
      <c r="FX164" s="36"/>
      <c r="FY164" s="36"/>
      <c r="FZ164" s="36"/>
      <c r="GA164" s="36"/>
      <c r="GB164" s="36"/>
      <c r="GC164" s="36"/>
      <c r="GD164" s="36"/>
      <c r="GE164" s="36"/>
      <c r="GF164" s="36"/>
      <c r="GG164" s="36"/>
      <c r="GH164" s="36"/>
      <c r="GI164" s="36"/>
      <c r="GJ164" s="36"/>
      <c r="GK164" s="36"/>
      <c r="GL164" s="36"/>
      <c r="GO164" s="61" t="s">
        <v>91</v>
      </c>
      <c r="GS164" s="32">
        <f>SUM(GS140:GS152)</f>
        <v>1999163288.436407</v>
      </c>
      <c r="GT164" s="9"/>
    </row>
    <row r="165" spans="1:202" ht="18.75">
      <c r="A165" s="54" t="s">
        <v>64</v>
      </c>
      <c r="B165" s="68"/>
      <c r="C165" s="9"/>
      <c r="D165" s="9"/>
      <c r="E165" s="9"/>
      <c r="F165" s="9"/>
      <c r="G165" s="9"/>
      <c r="H165" s="9"/>
      <c r="I165" s="9"/>
      <c r="J165" s="9"/>
      <c r="K165" s="9"/>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Y165" s="36"/>
      <c r="CZ165" s="36"/>
      <c r="DB165" s="9"/>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N165" s="61"/>
      <c r="GO165" s="32" t="s">
        <v>87</v>
      </c>
      <c r="GS165" s="32"/>
      <c r="GT165" s="9"/>
    </row>
    <row r="166" spans="1:202" ht="18">
      <c r="A166" s="54" t="s">
        <v>76</v>
      </c>
      <c r="B166" s="68"/>
      <c r="C166" s="9"/>
      <c r="D166" s="9"/>
      <c r="E166" s="9"/>
      <c r="F166" s="9"/>
      <c r="G166" s="9"/>
      <c r="H166" s="9"/>
      <c r="I166" s="9"/>
      <c r="J166" s="9"/>
      <c r="K166" s="9"/>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P166" s="36"/>
      <c r="GQ166" s="36"/>
      <c r="GR166" s="36"/>
      <c r="GT166" s="9"/>
    </row>
    <row r="167" spans="1:202" ht="18">
      <c r="A167" s="54" t="s">
        <v>83</v>
      </c>
      <c r="B167" s="68"/>
      <c r="C167" s="9"/>
      <c r="D167" s="9"/>
      <c r="E167" s="9"/>
      <c r="F167" s="9"/>
      <c r="G167" s="9"/>
      <c r="H167" s="9"/>
      <c r="I167" s="9"/>
      <c r="J167" s="9"/>
      <c r="K167" s="9"/>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Q167" s="36"/>
      <c r="GR167" s="36"/>
      <c r="GS167" s="9"/>
      <c r="GT167" s="9"/>
    </row>
  </sheetData>
  <printOptions gridLines="1"/>
  <pageMargins left="0.5" right="0.5" top="0.5" bottom="0.5" header="0.5" footer="0.5"/>
  <pageSetup fitToHeight="2" fitToWidth="7" horizontalDpi="600" verticalDpi="600" orientation="landscape" scale="32" r:id="rId3"/>
  <headerFooter alignWithMargins="0">
    <oddHeader>&amp;C&amp;16Matrix #1</oddHeader>
    <oddFooter>&amp;C&amp;16Page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IV72"/>
  <sheetViews>
    <sheetView zoomScale="75" zoomScaleNormal="75" workbookViewId="0" topLeftCell="A34">
      <selection activeCell="IT51" sqref="IT51"/>
    </sheetView>
  </sheetViews>
  <sheetFormatPr defaultColWidth="8.88671875" defaultRowHeight="15"/>
  <cols>
    <col min="12" max="12" width="10.6640625" style="0" customWidth="1"/>
    <col min="15" max="15" width="9.6640625" style="0" customWidth="1"/>
    <col min="16" max="16" width="9.10546875" style="0" customWidth="1"/>
    <col min="22" max="22" width="8.77734375" style="0" customWidth="1"/>
    <col min="28" max="28" width="10.88671875" style="0" customWidth="1"/>
    <col min="29" max="30" width="8.77734375" style="0" customWidth="1"/>
    <col min="31" max="31" width="8.6640625" style="0" customWidth="1"/>
    <col min="37" max="37" width="8.77734375" style="0" customWidth="1"/>
    <col min="45" max="48" width="10.88671875" style="0" customWidth="1"/>
    <col min="49" max="49" width="10.99609375" style="0" customWidth="1"/>
    <col min="62" max="62" width="10.77734375" style="0" customWidth="1"/>
    <col min="69" max="69" width="8.77734375" style="0" customWidth="1"/>
    <col min="80" max="80" width="11.6640625" style="0" customWidth="1"/>
    <col min="81" max="81" width="10.99609375" style="0" customWidth="1"/>
    <col min="82" max="83" width="10.6640625" style="0" customWidth="1"/>
    <col min="84" max="84" width="10.3359375" style="0" customWidth="1"/>
    <col min="86" max="86" width="10.10546875" style="0" customWidth="1"/>
    <col min="87" max="87" width="9.88671875" style="0" customWidth="1"/>
    <col min="88" max="90" width="10.10546875" style="0" customWidth="1"/>
    <col min="91" max="94" width="9.88671875" style="0" customWidth="1"/>
    <col min="96" max="99" width="11.10546875" style="0" customWidth="1"/>
    <col min="100" max="100" width="9.88671875" style="0" customWidth="1"/>
    <col min="102" max="102" width="8.77734375" style="0" customWidth="1"/>
    <col min="109" max="110" width="10.99609375" style="0" customWidth="1"/>
    <col min="111" max="116" width="11.6640625" style="0" customWidth="1"/>
    <col min="117" max="118" width="9.88671875" style="0" customWidth="1"/>
    <col min="122" max="122" width="8.6640625" style="0" customWidth="1"/>
    <col min="124" max="124" width="8.6640625" style="0" customWidth="1"/>
    <col min="130" max="133" width="11.5546875" style="0" customWidth="1"/>
    <col min="134" max="134" width="9.88671875" style="0" customWidth="1"/>
    <col min="135" max="135" width="9.4453125" style="0" customWidth="1"/>
    <col min="144" max="144" width="8.77734375" style="0" customWidth="1"/>
    <col min="147" max="150" width="10.77734375" style="0" customWidth="1"/>
    <col min="151" max="151" width="9.88671875" style="0" customWidth="1"/>
    <col min="154" max="154" width="8.77734375" style="0" customWidth="1"/>
    <col min="161" max="161" width="8.6640625" style="0" customWidth="1"/>
    <col min="163" max="163" width="8.99609375" style="0" customWidth="1"/>
    <col min="164" max="167" width="10.77734375" style="0" customWidth="1"/>
    <col min="172" max="172" width="8.77734375" style="0" customWidth="1"/>
    <col min="204" max="204" width="8.77734375" style="0" customWidth="1"/>
    <col min="209" max="209" width="8.77734375" style="0" customWidth="1"/>
    <col min="216" max="216" width="10.3359375" style="0" customWidth="1"/>
    <col min="217" max="217" width="10.6640625" style="0" customWidth="1"/>
    <col min="218" max="218" width="9.99609375" style="0" customWidth="1"/>
    <col min="219" max="219" width="9.88671875" style="0" customWidth="1"/>
    <col min="232" max="235" width="9.88671875" style="0" customWidth="1"/>
    <col min="247" max="247" width="8.77734375" style="0" customWidth="1"/>
    <col min="250" max="250" width="12.6640625" style="0" customWidth="1"/>
    <col min="251" max="251" width="11.5546875" style="0" customWidth="1"/>
    <col min="252" max="253" width="11.3359375" style="0" customWidth="1"/>
    <col min="254" max="254" width="12.77734375" style="0" customWidth="1"/>
  </cols>
  <sheetData>
    <row r="1" spans="1:256" ht="20.25">
      <c r="A1" s="2" t="s">
        <v>69</v>
      </c>
      <c r="B1" s="59"/>
      <c r="C1" s="60"/>
      <c r="D1" s="60"/>
      <c r="E1" s="16"/>
      <c r="F1" s="16"/>
      <c r="G1" s="9"/>
      <c r="H1" s="9"/>
      <c r="I1" s="34" t="s">
        <v>199</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20.25">
      <c r="A2" s="58"/>
      <c r="B2" s="59"/>
      <c r="C2" s="60"/>
      <c r="D2" s="60"/>
      <c r="E2" s="16"/>
      <c r="F2" s="16"/>
      <c r="G2" s="9"/>
      <c r="H2" s="9"/>
      <c r="I2" s="34"/>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20.25">
      <c r="A3" s="67" t="s">
        <v>80</v>
      </c>
      <c r="B3" s="59"/>
      <c r="C3" s="60"/>
      <c r="D3" s="60"/>
      <c r="E3" s="16"/>
      <c r="F3" s="16"/>
      <c r="G3" s="9"/>
      <c r="H3" s="9"/>
      <c r="I3" s="34"/>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20.25">
      <c r="A4" s="67" t="s">
        <v>81</v>
      </c>
      <c r="B4" s="59"/>
      <c r="C4" s="60"/>
      <c r="D4" s="60"/>
      <c r="E4" s="16"/>
      <c r="F4" s="16"/>
      <c r="G4" s="9"/>
      <c r="H4" s="9"/>
      <c r="I4" s="34"/>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20.25">
      <c r="A5" s="67"/>
      <c r="B5" s="59"/>
      <c r="C5" s="60"/>
      <c r="D5" s="60"/>
      <c r="E5" s="16"/>
      <c r="F5" s="16"/>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20.25">
      <c r="A6" s="67" t="s">
        <v>138</v>
      </c>
      <c r="B6" s="59"/>
      <c r="C6" s="60"/>
      <c r="D6" s="60"/>
      <c r="E6" s="16"/>
      <c r="F6" s="16"/>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20.25">
      <c r="A7" s="67"/>
      <c r="B7" s="59"/>
      <c r="C7" s="60"/>
      <c r="D7" s="60"/>
      <c r="E7" s="16"/>
      <c r="F7" s="16"/>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20.25">
      <c r="A8" s="67"/>
      <c r="B8" s="59"/>
      <c r="C8" s="60"/>
      <c r="D8" s="60"/>
      <c r="E8" s="16"/>
      <c r="F8" s="16"/>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20.25">
      <c r="A9" s="58"/>
      <c r="B9" s="59"/>
      <c r="C9" s="204" t="s">
        <v>63</v>
      </c>
      <c r="D9" s="9"/>
      <c r="E9" s="9"/>
      <c r="F9" s="9"/>
      <c r="G9" s="9"/>
      <c r="H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20.25">
      <c r="A10" s="67"/>
      <c r="B10" s="57"/>
      <c r="C10" s="9" t="s">
        <v>58</v>
      </c>
      <c r="E10" s="9">
        <v>0.05</v>
      </c>
      <c r="F10" s="9" t="s">
        <v>116</v>
      </c>
      <c r="G10" s="9"/>
      <c r="H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2:256" ht="15">
      <c r="B11" s="68"/>
      <c r="C11" s="9" t="s">
        <v>59</v>
      </c>
      <c r="D11" s="9"/>
      <c r="E11" s="9">
        <v>0.05</v>
      </c>
      <c r="F11" s="9" t="s">
        <v>116</v>
      </c>
      <c r="G11" s="9"/>
      <c r="H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2:256" ht="15">
      <c r="B12" s="68"/>
      <c r="C12" s="9"/>
      <c r="D12" s="9"/>
      <c r="E12" s="9"/>
      <c r="F12" s="9"/>
      <c r="G12" s="9"/>
      <c r="H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5">
      <c r="A13" s="67"/>
      <c r="B13" s="68" t="s">
        <v>65</v>
      </c>
      <c r="C13" s="9"/>
      <c r="D13" s="9" t="s">
        <v>66</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5">
      <c r="A14" s="67"/>
      <c r="B14" s="6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5">
      <c r="A15" s="67"/>
      <c r="B15" s="68"/>
      <c r="C15" s="9"/>
      <c r="D15" s="9"/>
      <c r="E15" s="9"/>
      <c r="F15" s="9"/>
      <c r="G15" s="9"/>
      <c r="H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8">
      <c r="A16" s="205" t="s">
        <v>198</v>
      </c>
      <c r="B16" s="65"/>
      <c r="C16" s="7"/>
      <c r="D16" s="7"/>
      <c r="E16" s="7"/>
      <c r="F16" s="7"/>
      <c r="G16" s="7"/>
      <c r="H16" s="7"/>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2:256" ht="15">
      <c r="B17" s="6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5">
      <c r="A18" s="16"/>
      <c r="B18" s="15"/>
      <c r="C18" s="16"/>
      <c r="D18" s="16"/>
      <c r="J18" s="204" t="s">
        <v>137</v>
      </c>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5">
      <c r="A19" s="16"/>
      <c r="B19" s="15"/>
      <c r="C19" s="16"/>
      <c r="D19" s="16"/>
      <c r="J19" s="206" t="s">
        <v>5</v>
      </c>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5">
      <c r="A20" s="204" t="s">
        <v>124</v>
      </c>
      <c r="B20" s="3"/>
      <c r="E20" s="206" t="s">
        <v>123</v>
      </c>
      <c r="F20" s="206" t="s">
        <v>61</v>
      </c>
      <c r="H20" s="206" t="s">
        <v>118</v>
      </c>
      <c r="I20" s="9"/>
      <c r="J20" s="206">
        <v>1</v>
      </c>
      <c r="K20" s="206">
        <v>2</v>
      </c>
      <c r="L20" s="206">
        <v>3</v>
      </c>
      <c r="M20" s="206">
        <v>4</v>
      </c>
      <c r="N20" s="206">
        <v>5</v>
      </c>
      <c r="O20" s="206">
        <v>6</v>
      </c>
      <c r="P20" s="206">
        <v>7</v>
      </c>
      <c r="Q20" s="206">
        <v>8</v>
      </c>
      <c r="R20" s="206">
        <v>9</v>
      </c>
      <c r="S20" s="206">
        <v>10</v>
      </c>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5">
      <c r="A21" s="9" t="s">
        <v>125</v>
      </c>
      <c r="B21" s="3"/>
      <c r="E21" t="s">
        <v>119</v>
      </c>
      <c r="F21" s="87">
        <v>10000</v>
      </c>
      <c r="H21" s="89">
        <v>0</v>
      </c>
      <c r="J21" s="9">
        <v>0.15</v>
      </c>
      <c r="K21" s="9">
        <v>0.15</v>
      </c>
      <c r="L21" s="9">
        <v>0.15</v>
      </c>
      <c r="M21" s="9">
        <v>0.15</v>
      </c>
      <c r="N21" s="9">
        <v>0.15</v>
      </c>
      <c r="O21" s="9">
        <v>0.15</v>
      </c>
      <c r="P21" s="9">
        <v>0.15</v>
      </c>
      <c r="Q21" s="9">
        <v>0.15</v>
      </c>
      <c r="R21" s="9">
        <v>0.15</v>
      </c>
      <c r="S21" s="9">
        <v>0.15</v>
      </c>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5">
      <c r="A22" s="9"/>
      <c r="B22" s="3"/>
      <c r="E22" t="s">
        <v>120</v>
      </c>
      <c r="F22" s="87">
        <v>15000</v>
      </c>
      <c r="H22" s="89">
        <v>0</v>
      </c>
      <c r="I22" s="9"/>
      <c r="J22" s="9">
        <v>0.15</v>
      </c>
      <c r="K22" s="9">
        <v>0.15</v>
      </c>
      <c r="L22" s="9">
        <v>0.15</v>
      </c>
      <c r="M22" s="9">
        <v>0.15</v>
      </c>
      <c r="N22" s="9">
        <v>0.15</v>
      </c>
      <c r="O22" s="9">
        <v>0.15</v>
      </c>
      <c r="P22" s="9">
        <v>0.15</v>
      </c>
      <c r="Q22" s="9">
        <v>0.15</v>
      </c>
      <c r="R22" s="9">
        <v>0.15</v>
      </c>
      <c r="S22" s="9">
        <v>0.15</v>
      </c>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5">
      <c r="A23" s="9"/>
      <c r="B23" s="3"/>
      <c r="E23" t="s">
        <v>121</v>
      </c>
      <c r="F23" s="87">
        <v>20000</v>
      </c>
      <c r="H23" s="89">
        <v>0</v>
      </c>
      <c r="I23" s="9"/>
      <c r="J23" s="9">
        <v>0.15</v>
      </c>
      <c r="K23" s="9">
        <v>0.15</v>
      </c>
      <c r="L23" s="9">
        <v>0.15</v>
      </c>
      <c r="M23" s="9">
        <v>0.15</v>
      </c>
      <c r="N23" s="9">
        <v>0.15</v>
      </c>
      <c r="O23" s="9">
        <v>0.15</v>
      </c>
      <c r="P23" s="9">
        <v>0.15</v>
      </c>
      <c r="Q23" s="9">
        <v>0.15</v>
      </c>
      <c r="R23" s="9">
        <v>0.15</v>
      </c>
      <c r="S23" s="9">
        <v>0.15</v>
      </c>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5">
      <c r="A24" s="9" t="s">
        <v>136</v>
      </c>
      <c r="B24" s="3"/>
      <c r="E24" t="s">
        <v>121</v>
      </c>
      <c r="F24" s="87">
        <v>12000</v>
      </c>
      <c r="H24" s="89">
        <v>0</v>
      </c>
      <c r="I24" s="9"/>
      <c r="J24" s="9">
        <v>0.15</v>
      </c>
      <c r="K24" s="9">
        <v>0.15</v>
      </c>
      <c r="L24" s="9">
        <v>0.15</v>
      </c>
      <c r="M24" s="9">
        <v>0.15</v>
      </c>
      <c r="N24" s="9">
        <v>0.15</v>
      </c>
      <c r="O24" s="9">
        <v>0.15</v>
      </c>
      <c r="P24" s="9">
        <v>0.15</v>
      </c>
      <c r="Q24" s="9">
        <v>0.15</v>
      </c>
      <c r="R24" s="9">
        <v>0.15</v>
      </c>
      <c r="S24" s="9">
        <v>0.15</v>
      </c>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5">
      <c r="A25" s="9"/>
      <c r="B25" s="3"/>
      <c r="F25" s="87"/>
      <c r="H25" s="89"/>
      <c r="I25" s="9"/>
      <c r="J25" s="9"/>
      <c r="K25" s="90"/>
      <c r="L25" s="9"/>
      <c r="M25" s="9"/>
      <c r="N25" s="9"/>
      <c r="O25" s="9"/>
      <c r="P25" s="9"/>
      <c r="Q25" s="9"/>
      <c r="R25" s="9"/>
      <c r="S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5">
      <c r="A26" s="9" t="s">
        <v>126</v>
      </c>
      <c r="B26" s="69"/>
      <c r="C26" s="70"/>
      <c r="E26" t="s">
        <v>119</v>
      </c>
      <c r="F26" s="87">
        <v>4000</v>
      </c>
      <c r="H26" s="89">
        <v>0</v>
      </c>
      <c r="I26" s="9"/>
      <c r="J26" s="9">
        <v>0.4</v>
      </c>
      <c r="K26" s="9">
        <v>0.4</v>
      </c>
      <c r="L26" s="9">
        <v>0.4</v>
      </c>
      <c r="M26" s="9">
        <v>0.4</v>
      </c>
      <c r="N26" s="9">
        <v>0.4</v>
      </c>
      <c r="O26" s="9">
        <v>0.4</v>
      </c>
      <c r="P26" s="9">
        <v>0.4</v>
      </c>
      <c r="Q26" s="9">
        <v>0.4</v>
      </c>
      <c r="R26" s="9">
        <v>0.4</v>
      </c>
      <c r="S26" s="9">
        <v>0.4</v>
      </c>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5">
      <c r="A27" s="9"/>
      <c r="B27" s="69"/>
      <c r="C27" s="70"/>
      <c r="E27" t="s">
        <v>120</v>
      </c>
      <c r="F27" s="87">
        <v>4500</v>
      </c>
      <c r="H27" s="89">
        <v>0</v>
      </c>
      <c r="I27" s="9"/>
      <c r="J27" s="9">
        <v>0.4</v>
      </c>
      <c r="K27" s="9">
        <v>0.4</v>
      </c>
      <c r="L27" s="9">
        <v>0.4</v>
      </c>
      <c r="M27" s="9">
        <v>0.4</v>
      </c>
      <c r="N27" s="9">
        <v>0.4</v>
      </c>
      <c r="O27" s="9">
        <v>0.4</v>
      </c>
      <c r="P27" s="9">
        <v>0.4</v>
      </c>
      <c r="Q27" s="9">
        <v>0.4</v>
      </c>
      <c r="R27" s="9">
        <v>0.4</v>
      </c>
      <c r="S27" s="9">
        <v>0.4</v>
      </c>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5">
      <c r="A28" s="9"/>
      <c r="B28" s="69"/>
      <c r="C28" s="70"/>
      <c r="E28" t="s">
        <v>121</v>
      </c>
      <c r="F28" s="87">
        <v>5000</v>
      </c>
      <c r="H28" s="89">
        <v>0</v>
      </c>
      <c r="I28" s="9"/>
      <c r="J28" s="9">
        <v>0.4</v>
      </c>
      <c r="K28" s="9">
        <v>0.4</v>
      </c>
      <c r="L28" s="9">
        <v>0.4</v>
      </c>
      <c r="M28" s="9">
        <v>0.4</v>
      </c>
      <c r="N28" s="9">
        <v>0.4</v>
      </c>
      <c r="O28" s="9">
        <v>0.4</v>
      </c>
      <c r="P28" s="9">
        <v>0.4</v>
      </c>
      <c r="Q28" s="9">
        <v>0.4</v>
      </c>
      <c r="R28" s="9">
        <v>0.4</v>
      </c>
      <c r="S28" s="9">
        <v>0.4</v>
      </c>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5">
      <c r="A29" s="9" t="s">
        <v>127</v>
      </c>
      <c r="B29" s="69"/>
      <c r="C29" s="70"/>
      <c r="E29" t="s">
        <v>122</v>
      </c>
      <c r="F29" s="87">
        <v>5000</v>
      </c>
      <c r="H29" s="89">
        <v>0</v>
      </c>
      <c r="I29" s="9"/>
      <c r="J29" s="9">
        <v>0.4</v>
      </c>
      <c r="K29" s="9">
        <v>0.4</v>
      </c>
      <c r="L29" s="9">
        <v>0.4</v>
      </c>
      <c r="M29" s="9">
        <v>0.4</v>
      </c>
      <c r="N29" s="9">
        <v>0.4</v>
      </c>
      <c r="O29" s="9">
        <v>0.4</v>
      </c>
      <c r="P29" s="9">
        <v>0.4</v>
      </c>
      <c r="Q29" s="9">
        <v>0.4</v>
      </c>
      <c r="R29" s="9">
        <v>0.4</v>
      </c>
      <c r="S29" s="9">
        <v>0.4</v>
      </c>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5">
      <c r="A30" s="9"/>
      <c r="B30" s="69"/>
      <c r="C30" s="70"/>
      <c r="F30" s="87"/>
      <c r="H30" s="89"/>
      <c r="I30" s="9"/>
      <c r="J30" s="9"/>
      <c r="K30" s="90"/>
      <c r="L30" s="90"/>
      <c r="M30" s="90"/>
      <c r="N30" s="90"/>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2:253" ht="15">
      <c r="B31" s="3"/>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row>
    <row r="32" spans="1:253" ht="15.75" customHeight="1">
      <c r="A32" s="9"/>
      <c r="B32" s="68"/>
      <c r="C32" s="9"/>
      <c r="D32" s="1" t="s">
        <v>42</v>
      </c>
      <c r="E32" s="39"/>
      <c r="F32" s="9"/>
      <c r="G32" s="39"/>
      <c r="H32" s="9"/>
      <c r="I32" s="9"/>
      <c r="J32" s="63"/>
      <c r="K32" s="63"/>
      <c r="L32" s="63"/>
      <c r="M32" s="63"/>
      <c r="N32" s="63"/>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8"/>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8"/>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8"/>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8"/>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8"/>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8"/>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8"/>
      <c r="IO32" s="8"/>
      <c r="IP32" s="9"/>
      <c r="IQ32" s="9"/>
      <c r="IR32" s="9"/>
      <c r="IS32" s="9"/>
    </row>
    <row r="33" spans="1:256" ht="151.5" customHeight="1" thickBot="1">
      <c r="A33" s="130" t="s">
        <v>18</v>
      </c>
      <c r="B33" s="131" t="s">
        <v>19</v>
      </c>
      <c r="C33" s="130" t="s">
        <v>20</v>
      </c>
      <c r="D33" s="130" t="s">
        <v>0</v>
      </c>
      <c r="E33" s="130" t="s">
        <v>1</v>
      </c>
      <c r="F33" s="130" t="s">
        <v>145</v>
      </c>
      <c r="G33" s="130" t="s">
        <v>146</v>
      </c>
      <c r="H33" s="130" t="s">
        <v>147</v>
      </c>
      <c r="I33" s="130" t="s">
        <v>148</v>
      </c>
      <c r="J33" s="130" t="s">
        <v>26</v>
      </c>
      <c r="K33" s="132" t="s">
        <v>53</v>
      </c>
      <c r="L33" s="145" t="s">
        <v>129</v>
      </c>
      <c r="M33" s="146" t="s">
        <v>44</v>
      </c>
      <c r="N33" s="133"/>
      <c r="O33" s="133"/>
      <c r="P33" s="158"/>
      <c r="Q33" s="158"/>
      <c r="R33" s="158"/>
      <c r="S33" s="133"/>
      <c r="T33" s="133"/>
      <c r="U33" s="133"/>
      <c r="V33" s="133"/>
      <c r="W33" s="133"/>
      <c r="X33" s="133"/>
      <c r="Y33" s="133"/>
      <c r="Z33" s="133"/>
      <c r="AA33" s="163" t="s">
        <v>129</v>
      </c>
      <c r="AB33" s="154" t="s">
        <v>45</v>
      </c>
      <c r="AC33" s="147" t="s">
        <v>129</v>
      </c>
      <c r="AD33" s="148" t="s">
        <v>128</v>
      </c>
      <c r="AE33" s="135"/>
      <c r="AF33" s="152"/>
      <c r="AG33" s="152"/>
      <c r="AH33" s="152"/>
      <c r="AI33" s="135"/>
      <c r="AJ33" s="135"/>
      <c r="AK33" s="135"/>
      <c r="AL33" s="135"/>
      <c r="AM33" s="135"/>
      <c r="AN33" s="135"/>
      <c r="AO33" s="135"/>
      <c r="AP33" s="135"/>
      <c r="AQ33" s="135"/>
      <c r="AR33" s="164" t="s">
        <v>129</v>
      </c>
      <c r="AS33" s="155" t="s">
        <v>135</v>
      </c>
      <c r="AT33" s="149" t="s">
        <v>120</v>
      </c>
      <c r="AU33" s="146" t="s">
        <v>44</v>
      </c>
      <c r="AV33" s="158"/>
      <c r="AW33" s="134"/>
      <c r="AX33" s="134"/>
      <c r="AY33" s="158"/>
      <c r="AZ33" s="158"/>
      <c r="BA33" s="158"/>
      <c r="BB33" s="134"/>
      <c r="BC33" s="134"/>
      <c r="BD33" s="134"/>
      <c r="BE33" s="134"/>
      <c r="BF33" s="134"/>
      <c r="BG33" s="134"/>
      <c r="BH33" s="134"/>
      <c r="BI33" s="151" t="s">
        <v>120</v>
      </c>
      <c r="BJ33" s="154" t="s">
        <v>45</v>
      </c>
      <c r="BK33" s="150" t="s">
        <v>120</v>
      </c>
      <c r="BL33" s="148" t="s">
        <v>128</v>
      </c>
      <c r="BM33" s="136"/>
      <c r="BN33" s="152"/>
      <c r="BO33" s="152"/>
      <c r="BP33" s="152"/>
      <c r="BQ33" s="136"/>
      <c r="BR33" s="136"/>
      <c r="BS33" s="136"/>
      <c r="BT33" s="136"/>
      <c r="BU33" s="136"/>
      <c r="BV33" s="136"/>
      <c r="BW33" s="136"/>
      <c r="BX33" s="136"/>
      <c r="BY33" s="136"/>
      <c r="BZ33" s="165" t="s">
        <v>120</v>
      </c>
      <c r="CA33" s="155" t="s">
        <v>135</v>
      </c>
      <c r="CB33" s="149" t="s">
        <v>130</v>
      </c>
      <c r="CC33" s="134"/>
      <c r="CD33" s="146" t="s">
        <v>44</v>
      </c>
      <c r="CE33" s="149"/>
      <c r="CF33" s="134"/>
      <c r="CG33" s="146"/>
      <c r="CH33" s="134"/>
      <c r="CI33" s="134"/>
      <c r="CJ33" s="134"/>
      <c r="CK33" s="134"/>
      <c r="CL33" s="134"/>
      <c r="CM33" s="134"/>
      <c r="CN33" s="134"/>
      <c r="CO33" s="134"/>
      <c r="CP33" s="134"/>
      <c r="CQ33" s="151" t="s">
        <v>130</v>
      </c>
      <c r="CR33" s="154" t="s">
        <v>45</v>
      </c>
      <c r="CS33" s="150" t="s">
        <v>130</v>
      </c>
      <c r="CT33" s="136"/>
      <c r="CU33" s="148" t="s">
        <v>128</v>
      </c>
      <c r="CV33" s="150"/>
      <c r="CW33" s="136"/>
      <c r="CX33" s="148"/>
      <c r="CY33" s="136"/>
      <c r="CZ33" s="136"/>
      <c r="DA33" s="136"/>
      <c r="DB33" s="136"/>
      <c r="DC33" s="136"/>
      <c r="DD33" s="136"/>
      <c r="DE33" s="136"/>
      <c r="DF33" s="136"/>
      <c r="DG33" s="136"/>
      <c r="DH33" s="165" t="s">
        <v>130</v>
      </c>
      <c r="DI33" s="155" t="s">
        <v>135</v>
      </c>
      <c r="DJ33" s="153" t="s">
        <v>131</v>
      </c>
      <c r="DK33" s="134"/>
      <c r="DL33" s="146" t="s">
        <v>44</v>
      </c>
      <c r="DM33" s="153"/>
      <c r="DN33" s="134"/>
      <c r="DO33" s="146"/>
      <c r="DP33" s="134"/>
      <c r="DQ33" s="134"/>
      <c r="DR33" s="134"/>
      <c r="DS33" s="134"/>
      <c r="DT33" s="134"/>
      <c r="DU33" s="134"/>
      <c r="DV33" s="134"/>
      <c r="DW33" s="134"/>
      <c r="DX33" s="134"/>
      <c r="DY33" s="166" t="s">
        <v>131</v>
      </c>
      <c r="DZ33" s="154" t="s">
        <v>45</v>
      </c>
      <c r="EA33" s="150" t="s">
        <v>131</v>
      </c>
      <c r="EB33" s="152"/>
      <c r="EC33" s="148" t="s">
        <v>128</v>
      </c>
      <c r="ED33" s="150"/>
      <c r="EE33" s="152"/>
      <c r="EF33" s="148"/>
      <c r="EG33" s="136"/>
      <c r="EH33" s="136"/>
      <c r="EI33" s="136"/>
      <c r="EJ33" s="136"/>
      <c r="EK33" s="136"/>
      <c r="EL33" s="136"/>
      <c r="EM33" s="136"/>
      <c r="EN33" s="136"/>
      <c r="EO33" s="136"/>
      <c r="EP33" s="165" t="s">
        <v>131</v>
      </c>
      <c r="EQ33" s="157" t="s">
        <v>135</v>
      </c>
      <c r="ER33" s="151" t="s">
        <v>132</v>
      </c>
      <c r="ES33" s="134"/>
      <c r="ET33" s="146" t="s">
        <v>44</v>
      </c>
      <c r="EU33" s="151"/>
      <c r="EV33" s="134"/>
      <c r="EW33" s="146"/>
      <c r="EX33" s="134"/>
      <c r="EY33" s="134"/>
      <c r="EZ33" s="134"/>
      <c r="FA33" s="134"/>
      <c r="FB33" s="134"/>
      <c r="FC33" s="134"/>
      <c r="FD33" s="134"/>
      <c r="FE33" s="134"/>
      <c r="FF33" s="151" t="s">
        <v>132</v>
      </c>
      <c r="FG33" s="158"/>
      <c r="FH33" s="154" t="s">
        <v>45</v>
      </c>
      <c r="FI33" s="150" t="s">
        <v>132</v>
      </c>
      <c r="FJ33" s="136"/>
      <c r="FK33" s="148" t="s">
        <v>128</v>
      </c>
      <c r="FL33" s="152"/>
      <c r="FM33" s="152"/>
      <c r="FN33" s="152"/>
      <c r="FO33" s="136"/>
      <c r="FP33" s="136"/>
      <c r="FQ33" s="136"/>
      <c r="FR33" s="136"/>
      <c r="FS33" s="136"/>
      <c r="FT33" s="136"/>
      <c r="FU33" s="136"/>
      <c r="FV33" s="136"/>
      <c r="FW33" s="165" t="s">
        <v>132</v>
      </c>
      <c r="FX33" s="152"/>
      <c r="FY33" s="157" t="s">
        <v>135</v>
      </c>
      <c r="FZ33" s="153" t="s">
        <v>133</v>
      </c>
      <c r="GA33" s="134"/>
      <c r="GB33" s="134"/>
      <c r="GC33" s="146" t="s">
        <v>44</v>
      </c>
      <c r="GD33" s="134"/>
      <c r="GE33" s="134"/>
      <c r="GF33" s="146"/>
      <c r="GG33" s="134"/>
      <c r="GH33" s="134"/>
      <c r="GI33" s="134"/>
      <c r="GJ33" s="134"/>
      <c r="GK33" s="134"/>
      <c r="GL33" s="134"/>
      <c r="GM33" s="134"/>
      <c r="GN33" s="134"/>
      <c r="GO33" s="134"/>
      <c r="GP33" s="154" t="s">
        <v>45</v>
      </c>
      <c r="GQ33" s="150" t="s">
        <v>133</v>
      </c>
      <c r="GR33" s="136"/>
      <c r="GS33" s="148" t="s">
        <v>128</v>
      </c>
      <c r="GT33" s="152"/>
      <c r="GU33" s="152"/>
      <c r="GV33" s="152"/>
      <c r="GW33" s="136"/>
      <c r="GX33" s="136"/>
      <c r="GY33" s="136"/>
      <c r="GZ33" s="136"/>
      <c r="HA33" s="136"/>
      <c r="HB33" s="136"/>
      <c r="HC33" s="136"/>
      <c r="HD33" s="136"/>
      <c r="HE33" s="165" t="s">
        <v>133</v>
      </c>
      <c r="HF33" s="136"/>
      <c r="HG33" s="157" t="s">
        <v>135</v>
      </c>
      <c r="HH33" s="153" t="s">
        <v>134</v>
      </c>
      <c r="HI33" s="134"/>
      <c r="HJ33" s="146" t="s">
        <v>44</v>
      </c>
      <c r="HK33" s="158"/>
      <c r="HL33" s="158"/>
      <c r="HM33" s="158"/>
      <c r="HN33" s="134"/>
      <c r="HO33" s="134"/>
      <c r="HP33" s="134"/>
      <c r="HQ33" s="134"/>
      <c r="HR33" s="134"/>
      <c r="HS33" s="134"/>
      <c r="HT33" s="134"/>
      <c r="HU33" s="134"/>
      <c r="HV33" s="166" t="s">
        <v>134</v>
      </c>
      <c r="HW33" s="166"/>
      <c r="HX33" s="154" t="s">
        <v>45</v>
      </c>
      <c r="HY33" s="150" t="s">
        <v>134</v>
      </c>
      <c r="HZ33" s="136"/>
      <c r="IA33" s="148" t="s">
        <v>128</v>
      </c>
      <c r="IB33" s="152"/>
      <c r="IC33" s="152"/>
      <c r="ID33" s="152"/>
      <c r="IE33" s="136"/>
      <c r="IF33" s="136"/>
      <c r="IG33" s="136"/>
      <c r="IH33" s="136"/>
      <c r="II33" s="136"/>
      <c r="IJ33" s="136"/>
      <c r="IK33" s="136"/>
      <c r="IL33" s="136"/>
      <c r="IM33" s="165" t="s">
        <v>134</v>
      </c>
      <c r="IN33" s="152"/>
      <c r="IO33" s="157" t="s">
        <v>135</v>
      </c>
      <c r="IP33" s="201" t="s">
        <v>149</v>
      </c>
      <c r="IQ33" s="202" t="s">
        <v>140</v>
      </c>
      <c r="IR33" s="202" t="s">
        <v>141</v>
      </c>
      <c r="IS33" s="202" t="s">
        <v>143</v>
      </c>
      <c r="IT33" s="203" t="s">
        <v>144</v>
      </c>
      <c r="IU33" s="200"/>
      <c r="IV33" s="200"/>
    </row>
    <row r="34" spans="1:254" s="179" customFormat="1" ht="16.5" customHeight="1">
      <c r="A34" s="167">
        <v>-2001</v>
      </c>
      <c r="B34" s="49" t="s">
        <v>139</v>
      </c>
      <c r="C34" s="31">
        <v>2125</v>
      </c>
      <c r="D34" s="31">
        <v>880</v>
      </c>
      <c r="E34" s="31">
        <v>11162</v>
      </c>
      <c r="F34" s="31">
        <v>3721</v>
      </c>
      <c r="G34" s="31">
        <v>856</v>
      </c>
      <c r="H34" s="31">
        <v>285</v>
      </c>
      <c r="I34" s="31">
        <v>822</v>
      </c>
      <c r="J34" s="84">
        <f>SUM(E34:I34)</f>
        <v>16846</v>
      </c>
      <c r="K34" s="86">
        <f>SUM(C34:I34)</f>
        <v>19851</v>
      </c>
      <c r="L34" s="84"/>
      <c r="M34" s="84"/>
      <c r="N34" s="84"/>
      <c r="O34" s="169"/>
      <c r="P34" s="170"/>
      <c r="Q34" s="171"/>
      <c r="R34" s="171"/>
      <c r="S34" s="171"/>
      <c r="T34" s="171"/>
      <c r="U34" s="171"/>
      <c r="V34" s="171"/>
      <c r="W34" s="171"/>
      <c r="X34" s="171"/>
      <c r="Y34" s="171"/>
      <c r="Z34" s="171"/>
      <c r="AA34" s="181"/>
      <c r="AB34" s="180"/>
      <c r="AC34" s="174"/>
      <c r="AD34" s="174"/>
      <c r="AE34" s="174"/>
      <c r="AF34" s="172"/>
      <c r="AG34" s="173"/>
      <c r="AH34" s="174"/>
      <c r="AI34" s="174"/>
      <c r="AJ34" s="174"/>
      <c r="AK34" s="174"/>
      <c r="AL34" s="174"/>
      <c r="AM34" s="174"/>
      <c r="AN34" s="174"/>
      <c r="AO34" s="174"/>
      <c r="AP34" s="174"/>
      <c r="AQ34" s="174"/>
      <c r="AR34" s="184"/>
      <c r="AS34" s="183"/>
      <c r="AT34" s="186"/>
      <c r="AU34" s="186"/>
      <c r="AV34" s="186"/>
      <c r="AW34" s="170"/>
      <c r="AX34" s="167"/>
      <c r="AY34" s="170"/>
      <c r="AZ34" s="167"/>
      <c r="BA34" s="167"/>
      <c r="BB34" s="167"/>
      <c r="BC34" s="167"/>
      <c r="BD34" s="167"/>
      <c r="BE34" s="167"/>
      <c r="BF34" s="167"/>
      <c r="BG34" s="167"/>
      <c r="BH34" s="167"/>
      <c r="BI34" s="187"/>
      <c r="BJ34" s="47"/>
      <c r="BK34" s="139"/>
      <c r="BL34" s="139"/>
      <c r="BM34" s="139"/>
      <c r="BN34" s="175"/>
      <c r="BO34" s="173"/>
      <c r="BP34" s="173"/>
      <c r="BQ34" s="173"/>
      <c r="BR34" s="173"/>
      <c r="BS34" s="173"/>
      <c r="BT34" s="173"/>
      <c r="BU34" s="173"/>
      <c r="BV34" s="173"/>
      <c r="BW34" s="173"/>
      <c r="BX34" s="173"/>
      <c r="BY34" s="173"/>
      <c r="BZ34" s="188"/>
      <c r="CA34" s="190"/>
      <c r="CB34" s="186"/>
      <c r="CC34" s="186"/>
      <c r="CD34" s="186"/>
      <c r="CE34" s="170"/>
      <c r="CF34" s="167"/>
      <c r="CG34" s="170"/>
      <c r="CH34" s="167"/>
      <c r="CI34" s="167"/>
      <c r="CJ34" s="167"/>
      <c r="CK34" s="167"/>
      <c r="CL34" s="167"/>
      <c r="CM34" s="167"/>
      <c r="CN34" s="167"/>
      <c r="CO34" s="167"/>
      <c r="CP34" s="167"/>
      <c r="CQ34" s="187"/>
      <c r="CR34" s="180"/>
      <c r="CS34" s="174"/>
      <c r="CT34" s="174"/>
      <c r="CU34" s="174"/>
      <c r="CV34" s="175"/>
      <c r="CW34" s="173"/>
      <c r="CX34" s="173"/>
      <c r="CY34" s="173"/>
      <c r="CZ34" s="173"/>
      <c r="DA34" s="173"/>
      <c r="DB34" s="173"/>
      <c r="DC34" s="173"/>
      <c r="DD34" s="173"/>
      <c r="DE34" s="173"/>
      <c r="DF34" s="173"/>
      <c r="DG34" s="173"/>
      <c r="DH34" s="188"/>
      <c r="DI34" s="183"/>
      <c r="DJ34" s="186"/>
      <c r="DK34" s="186"/>
      <c r="DL34" s="186"/>
      <c r="DM34" s="176"/>
      <c r="DN34" s="167"/>
      <c r="DO34" s="170"/>
      <c r="DP34" s="167"/>
      <c r="DQ34" s="167"/>
      <c r="DR34" s="167"/>
      <c r="DS34" s="167"/>
      <c r="DT34" s="167"/>
      <c r="DU34" s="167"/>
      <c r="DV34" s="167"/>
      <c r="DW34" s="167"/>
      <c r="DX34" s="167"/>
      <c r="DY34" s="191"/>
      <c r="DZ34" s="192"/>
      <c r="EA34" s="174"/>
      <c r="EB34" s="174"/>
      <c r="EC34" s="174"/>
      <c r="ED34" s="175"/>
      <c r="EE34" s="173"/>
      <c r="EF34" s="173"/>
      <c r="EG34" s="173"/>
      <c r="EH34" s="173"/>
      <c r="EI34" s="173"/>
      <c r="EJ34" s="173"/>
      <c r="EK34" s="173"/>
      <c r="EL34" s="173"/>
      <c r="EM34" s="173"/>
      <c r="EN34" s="173"/>
      <c r="EO34" s="173"/>
      <c r="EP34" s="188"/>
      <c r="EQ34" s="177"/>
      <c r="ER34" s="186"/>
      <c r="ES34" s="186"/>
      <c r="ET34" s="186"/>
      <c r="EU34" s="170"/>
      <c r="EV34" s="167"/>
      <c r="EW34" s="170"/>
      <c r="EX34" s="167"/>
      <c r="EY34" s="167"/>
      <c r="EZ34" s="167"/>
      <c r="FA34" s="167"/>
      <c r="FB34" s="167"/>
      <c r="FC34" s="167"/>
      <c r="FD34" s="167"/>
      <c r="FE34" s="167"/>
      <c r="FF34" s="170"/>
      <c r="FG34" s="193"/>
      <c r="FH34" s="180"/>
      <c r="FI34" s="174"/>
      <c r="FJ34" s="174"/>
      <c r="FK34" s="174"/>
      <c r="FL34" s="175"/>
      <c r="FM34" s="173"/>
      <c r="FN34" s="173"/>
      <c r="FO34" s="173"/>
      <c r="FP34" s="173"/>
      <c r="FQ34" s="173"/>
      <c r="FR34" s="173"/>
      <c r="FS34" s="173"/>
      <c r="FT34" s="173"/>
      <c r="FU34" s="173"/>
      <c r="FV34" s="173"/>
      <c r="FW34" s="175"/>
      <c r="FX34" s="194"/>
      <c r="FY34" s="177"/>
      <c r="FZ34" s="186"/>
      <c r="GA34" s="186"/>
      <c r="GB34" s="186"/>
      <c r="GC34" s="170"/>
      <c r="GD34" s="167"/>
      <c r="GE34" s="167"/>
      <c r="GF34" s="170"/>
      <c r="GG34" s="167"/>
      <c r="GH34" s="167"/>
      <c r="GI34" s="167"/>
      <c r="GJ34" s="167"/>
      <c r="GK34" s="167"/>
      <c r="GL34" s="167"/>
      <c r="GM34" s="167"/>
      <c r="GN34" s="167"/>
      <c r="GO34" s="193"/>
      <c r="GP34" s="180"/>
      <c r="GQ34" s="174"/>
      <c r="GR34" s="174"/>
      <c r="GS34" s="174"/>
      <c r="GT34" s="175"/>
      <c r="GU34" s="173"/>
      <c r="GV34" s="173"/>
      <c r="GW34" s="173"/>
      <c r="GX34" s="173"/>
      <c r="GY34" s="173"/>
      <c r="GZ34" s="173"/>
      <c r="HA34" s="173"/>
      <c r="HB34" s="173"/>
      <c r="HC34" s="173"/>
      <c r="HD34" s="173"/>
      <c r="HE34" s="175"/>
      <c r="HF34" s="194"/>
      <c r="HG34" s="190"/>
      <c r="HH34" s="186"/>
      <c r="HI34" s="186"/>
      <c r="HJ34" s="186"/>
      <c r="HK34" s="176"/>
      <c r="HL34" s="167"/>
      <c r="HM34" s="170"/>
      <c r="HN34" s="167"/>
      <c r="HO34" s="167"/>
      <c r="HP34" s="167"/>
      <c r="HQ34" s="167"/>
      <c r="HR34" s="167"/>
      <c r="HS34" s="167"/>
      <c r="HT34" s="167"/>
      <c r="HU34" s="167"/>
      <c r="HV34" s="176"/>
      <c r="HW34" s="176"/>
      <c r="HX34" s="180"/>
      <c r="HY34" s="174"/>
      <c r="HZ34" s="174"/>
      <c r="IA34" s="174"/>
      <c r="IB34" s="175"/>
      <c r="IC34" s="173"/>
      <c r="ID34" s="173"/>
      <c r="IE34" s="173"/>
      <c r="IF34" s="173"/>
      <c r="IG34" s="173"/>
      <c r="IH34" s="173"/>
      <c r="II34" s="173"/>
      <c r="IJ34" s="173"/>
      <c r="IK34" s="173"/>
      <c r="IL34" s="173"/>
      <c r="IM34" s="175"/>
      <c r="IN34" s="195"/>
      <c r="IO34" s="177"/>
      <c r="IP34" s="182"/>
      <c r="IQ34" s="198"/>
      <c r="IR34" s="198"/>
      <c r="IS34" s="196"/>
      <c r="IT34" s="199"/>
    </row>
    <row r="35" spans="1:254" s="179" customFormat="1" ht="16.5" customHeight="1">
      <c r="A35" s="167">
        <v>-1998</v>
      </c>
      <c r="B35" s="49">
        <v>2008</v>
      </c>
      <c r="C35" s="167">
        <v>1061</v>
      </c>
      <c r="D35" s="167">
        <v>462</v>
      </c>
      <c r="E35" s="167">
        <v>6045</v>
      </c>
      <c r="F35" s="167">
        <v>2015</v>
      </c>
      <c r="G35" s="167">
        <v>509</v>
      </c>
      <c r="H35" s="167">
        <v>170</v>
      </c>
      <c r="I35" s="167">
        <v>539</v>
      </c>
      <c r="J35" s="84">
        <f>SUM(E35:I35)</f>
        <v>9278</v>
      </c>
      <c r="K35" s="86">
        <f>SUM(C35:I35)</f>
        <v>10801</v>
      </c>
      <c r="L35" s="36">
        <f>$C$35*$F$21*0.1295</f>
        <v>1373995</v>
      </c>
      <c r="M35" s="167"/>
      <c r="N35" s="167"/>
      <c r="O35" s="169"/>
      <c r="P35" s="170"/>
      <c r="Q35" s="171"/>
      <c r="R35" s="171"/>
      <c r="S35" s="171"/>
      <c r="T35" s="171"/>
      <c r="U35" s="171"/>
      <c r="V35" s="171"/>
      <c r="W35" s="171"/>
      <c r="X35" s="171"/>
      <c r="Y35" s="171"/>
      <c r="Z35" s="171"/>
      <c r="AA35" s="182"/>
      <c r="AB35" s="78">
        <f>SUM(L35:AA35)</f>
        <v>1373995</v>
      </c>
      <c r="AC35" s="137">
        <f>$C$35*$J$21*$F$21*0.1295</f>
        <v>206099.25</v>
      </c>
      <c r="AD35" s="174"/>
      <c r="AE35" s="174"/>
      <c r="AF35" s="172"/>
      <c r="AG35" s="173"/>
      <c r="AH35" s="174"/>
      <c r="AI35" s="174"/>
      <c r="AJ35" s="174"/>
      <c r="AK35" s="174"/>
      <c r="AL35" s="174"/>
      <c r="AM35" s="174"/>
      <c r="AN35" s="174"/>
      <c r="AO35" s="174"/>
      <c r="AP35" s="174"/>
      <c r="AQ35" s="174"/>
      <c r="AR35" s="185"/>
      <c r="AS35" s="142">
        <f>SUM(AC35:AR35)</f>
        <v>206099.25</v>
      </c>
      <c r="AT35" s="36">
        <f>$D$35*$F$22*0.1295</f>
        <v>897435</v>
      </c>
      <c r="AU35" s="143"/>
      <c r="AV35" s="143"/>
      <c r="AW35" s="170"/>
      <c r="AX35" s="167"/>
      <c r="AY35" s="170"/>
      <c r="AZ35" s="167"/>
      <c r="BA35" s="167"/>
      <c r="BB35" s="167"/>
      <c r="BC35" s="167"/>
      <c r="BD35" s="167"/>
      <c r="BE35" s="167"/>
      <c r="BF35" s="167"/>
      <c r="BG35" s="167"/>
      <c r="BH35" s="167"/>
      <c r="BI35" s="178"/>
      <c r="BJ35" s="47">
        <f>SUM(AT35:BI35)</f>
        <v>897435</v>
      </c>
      <c r="BK35" s="137">
        <f>$D$35*$J$22*$F$22*0.1295</f>
        <v>134615.25</v>
      </c>
      <c r="BL35" s="139"/>
      <c r="BM35" s="139"/>
      <c r="BN35" s="175"/>
      <c r="BO35" s="173"/>
      <c r="BP35" s="173"/>
      <c r="BQ35" s="173"/>
      <c r="BR35" s="173"/>
      <c r="BS35" s="173"/>
      <c r="BT35" s="173"/>
      <c r="BU35" s="173"/>
      <c r="BV35" s="173"/>
      <c r="BW35" s="173"/>
      <c r="BX35" s="173"/>
      <c r="BY35" s="173"/>
      <c r="BZ35" s="189"/>
      <c r="CA35" s="142">
        <f>SUM(BK35:BZ35)</f>
        <v>134615.25</v>
      </c>
      <c r="CB35" s="36">
        <f>$E$35*$F$23*0.1295</f>
        <v>15656550</v>
      </c>
      <c r="CC35" s="186"/>
      <c r="CD35" s="186"/>
      <c r="CE35" s="170"/>
      <c r="CF35" s="167"/>
      <c r="CG35" s="170"/>
      <c r="CH35" s="167"/>
      <c r="CI35" s="167"/>
      <c r="CJ35" s="167"/>
      <c r="CK35" s="167"/>
      <c r="CL35" s="167"/>
      <c r="CM35" s="167"/>
      <c r="CN35" s="167"/>
      <c r="CO35" s="167"/>
      <c r="CP35" s="167"/>
      <c r="CQ35" s="178"/>
      <c r="CR35" s="47">
        <f>SUM(CB35:CQ35)</f>
        <v>15656550</v>
      </c>
      <c r="CS35" s="137">
        <f>$E$35*$J$23*$F$23*0.1295</f>
        <v>2348482.5</v>
      </c>
      <c r="CT35" s="139"/>
      <c r="CU35" s="139"/>
      <c r="CV35" s="175"/>
      <c r="CW35" s="173"/>
      <c r="CX35" s="173"/>
      <c r="CY35" s="173"/>
      <c r="CZ35" s="173"/>
      <c r="DA35" s="173"/>
      <c r="DB35" s="173"/>
      <c r="DC35" s="173"/>
      <c r="DD35" s="173"/>
      <c r="DE35" s="173"/>
      <c r="DF35" s="173"/>
      <c r="DG35" s="173"/>
      <c r="DH35" s="189"/>
      <c r="DI35" s="142">
        <f>SUM(CS35:DH35)</f>
        <v>2348482.5</v>
      </c>
      <c r="DJ35" s="36">
        <f>$F$35*$F$23*0.1295</f>
        <v>5218850</v>
      </c>
      <c r="DK35" s="143"/>
      <c r="DL35" s="143"/>
      <c r="DM35" s="176"/>
      <c r="DN35" s="167"/>
      <c r="DO35" s="170"/>
      <c r="DP35" s="167"/>
      <c r="DQ35" s="167"/>
      <c r="DR35" s="167"/>
      <c r="DS35" s="167"/>
      <c r="DT35" s="167"/>
      <c r="DU35" s="167"/>
      <c r="DV35" s="167"/>
      <c r="DW35" s="167"/>
      <c r="DX35" s="167"/>
      <c r="DY35" s="176"/>
      <c r="DZ35" s="78">
        <f>SUM(DJ35:DY35)</f>
        <v>5218850</v>
      </c>
      <c r="EA35" s="137">
        <f>$F$35*$J$23*$F$23*0.1295</f>
        <v>782827.5</v>
      </c>
      <c r="EB35" s="139"/>
      <c r="EC35" s="139"/>
      <c r="ED35" s="175"/>
      <c r="EE35" s="173"/>
      <c r="EF35" s="173"/>
      <c r="EG35" s="173"/>
      <c r="EH35" s="173"/>
      <c r="EI35" s="173"/>
      <c r="EJ35" s="173"/>
      <c r="EK35" s="173"/>
      <c r="EL35" s="173"/>
      <c r="EM35" s="173"/>
      <c r="EN35" s="173"/>
      <c r="EO35" s="173"/>
      <c r="EP35" s="189"/>
      <c r="EQ35" s="142">
        <f>SUM(EA35:EP35)</f>
        <v>782827.5</v>
      </c>
      <c r="ER35" s="36">
        <f>$G$35*$F$24*0.1295</f>
        <v>790986</v>
      </c>
      <c r="ES35" s="143"/>
      <c r="ET35" s="143"/>
      <c r="EU35" s="170"/>
      <c r="EV35" s="167"/>
      <c r="EW35" s="170"/>
      <c r="EX35" s="167"/>
      <c r="EY35" s="167"/>
      <c r="EZ35" s="167"/>
      <c r="FA35" s="167"/>
      <c r="FB35" s="167"/>
      <c r="FC35" s="167"/>
      <c r="FD35" s="167"/>
      <c r="FE35" s="167"/>
      <c r="FF35" s="170"/>
      <c r="FG35" s="168"/>
      <c r="FH35" s="78">
        <f>SUM(ER35:FG35)</f>
        <v>790986</v>
      </c>
      <c r="FI35" s="137">
        <f>$G$35*$J$24*$F$24*0.1295</f>
        <v>118647.9</v>
      </c>
      <c r="FJ35" s="139"/>
      <c r="FK35" s="139"/>
      <c r="FL35" s="175"/>
      <c r="FM35" s="173"/>
      <c r="FN35" s="173"/>
      <c r="FO35" s="173"/>
      <c r="FP35" s="173"/>
      <c r="FQ35" s="173"/>
      <c r="FR35" s="173"/>
      <c r="FS35" s="173"/>
      <c r="FT35" s="173"/>
      <c r="FU35" s="173"/>
      <c r="FV35" s="173"/>
      <c r="FW35" s="175"/>
      <c r="FX35" s="195"/>
      <c r="FY35" s="142">
        <f>SUM(FI35:FX35)</f>
        <v>118647.9</v>
      </c>
      <c r="FZ35" s="36">
        <f>$H$35*$F$24*0.1295</f>
        <v>264180</v>
      </c>
      <c r="GA35" s="143"/>
      <c r="GB35" s="143"/>
      <c r="GC35" s="170"/>
      <c r="GD35" s="167"/>
      <c r="GE35" s="167"/>
      <c r="GF35" s="170"/>
      <c r="GG35" s="167"/>
      <c r="GH35" s="167"/>
      <c r="GI35" s="167"/>
      <c r="GJ35" s="167"/>
      <c r="GK35" s="167"/>
      <c r="GL35" s="167"/>
      <c r="GM35" s="167"/>
      <c r="GN35" s="167"/>
      <c r="GO35" s="168"/>
      <c r="GP35" s="47">
        <f>SUM(FZ35:GO35)</f>
        <v>264180</v>
      </c>
      <c r="GQ35" s="137">
        <f>$H$35*$J$24*$F$24*0.1295</f>
        <v>39627</v>
      </c>
      <c r="GR35" s="139"/>
      <c r="GS35" s="139"/>
      <c r="GT35" s="175"/>
      <c r="GU35" s="173"/>
      <c r="GV35" s="173"/>
      <c r="GW35" s="173"/>
      <c r="GX35" s="173"/>
      <c r="GY35" s="173"/>
      <c r="GZ35" s="173"/>
      <c r="HA35" s="173"/>
      <c r="HB35" s="173"/>
      <c r="HC35" s="173"/>
      <c r="HD35" s="173"/>
      <c r="HE35" s="175"/>
      <c r="HF35" s="195"/>
      <c r="HG35" s="142">
        <f>SUM(GQ35:HF35)</f>
        <v>39627</v>
      </c>
      <c r="HH35" s="81">
        <f>$I$35*$F$23*0.1295</f>
        <v>1396010</v>
      </c>
      <c r="HI35" s="186"/>
      <c r="HJ35" s="186"/>
      <c r="HK35" s="176"/>
      <c r="HL35" s="167"/>
      <c r="HM35" s="170"/>
      <c r="HN35" s="167"/>
      <c r="HO35" s="167"/>
      <c r="HP35" s="167"/>
      <c r="HQ35" s="167"/>
      <c r="HR35" s="167"/>
      <c r="HS35" s="167"/>
      <c r="HT35" s="167"/>
      <c r="HU35" s="167"/>
      <c r="HV35" s="176"/>
      <c r="HW35" s="176"/>
      <c r="HX35" s="47">
        <f>SUM(HH35:HW35)</f>
        <v>1396010</v>
      </c>
      <c r="HY35" s="139">
        <f>$I$35*$J$23*$F$23*0.1295</f>
        <v>209401.5</v>
      </c>
      <c r="HZ35" s="137"/>
      <c r="IA35" s="139"/>
      <c r="IB35" s="175"/>
      <c r="IC35" s="173"/>
      <c r="ID35" s="173"/>
      <c r="IE35" s="173"/>
      <c r="IF35" s="173"/>
      <c r="IG35" s="173"/>
      <c r="IH35" s="173"/>
      <c r="II35" s="173"/>
      <c r="IJ35" s="173"/>
      <c r="IK35" s="173"/>
      <c r="IL35" s="173"/>
      <c r="IM35" s="175"/>
      <c r="IN35" s="195"/>
      <c r="IO35" s="138">
        <f>SUM(HY35:IN35)</f>
        <v>209401.5</v>
      </c>
      <c r="IP35" s="38">
        <f>SUM(AB35,BJ35,CR35,DZ35,FH35,GP35,HX35)*(1+$E$10)^-6</f>
        <v>19101626.200396772</v>
      </c>
      <c r="IQ35" s="198">
        <f>SUM(AC35,BK35,CS35,EA35,FI35,GQ35,HY35)*(1+$E$10)^-6</f>
        <v>2865243.930059516</v>
      </c>
      <c r="IR35" s="198"/>
      <c r="IS35" s="196">
        <f>SUM(AS35,CA35,DI35,EQ35,FY35,HG35,IO35)*(1+$E$10)^-6</f>
        <v>2865243.930059516</v>
      </c>
      <c r="IT35" s="159">
        <f>IP35-IS35</f>
        <v>16236382.270337258</v>
      </c>
    </row>
    <row r="36" spans="1:254" s="179" customFormat="1" ht="15.75" customHeight="1">
      <c r="A36" s="167">
        <v>1999</v>
      </c>
      <c r="B36" s="49">
        <v>2008</v>
      </c>
      <c r="C36" s="167">
        <v>322</v>
      </c>
      <c r="D36" s="167">
        <v>195</v>
      </c>
      <c r="E36" s="167">
        <v>2215</v>
      </c>
      <c r="F36" s="167">
        <v>738</v>
      </c>
      <c r="G36" s="167">
        <v>80</v>
      </c>
      <c r="H36" s="167">
        <v>27</v>
      </c>
      <c r="I36" s="167">
        <v>89</v>
      </c>
      <c r="J36" s="84">
        <f>SUM(E36:I36)</f>
        <v>3149</v>
      </c>
      <c r="K36" s="86">
        <f>SUM(C36:I36)</f>
        <v>3666</v>
      </c>
      <c r="L36" s="36">
        <f aca="true" t="shared" si="0" ref="L36:L44">$C$35*$F$21*0.1295</f>
        <v>1373995</v>
      </c>
      <c r="M36" s="36">
        <f>$C$36*$F$21*0.1295</f>
        <v>416990</v>
      </c>
      <c r="N36" s="167"/>
      <c r="O36" s="169"/>
      <c r="P36" s="170"/>
      <c r="Q36" s="171"/>
      <c r="R36" s="171"/>
      <c r="S36" s="171"/>
      <c r="T36" s="171"/>
      <c r="U36" s="171"/>
      <c r="V36" s="171"/>
      <c r="W36" s="171"/>
      <c r="X36" s="171"/>
      <c r="Y36" s="171"/>
      <c r="Z36" s="171"/>
      <c r="AA36" s="182"/>
      <c r="AB36" s="78">
        <f aca="true" t="shared" si="1" ref="AB36:AB59">SUM(L36:AA36)</f>
        <v>1790985</v>
      </c>
      <c r="AC36" s="137">
        <f>$C$35*$K$21*$F$21*0.1295</f>
        <v>206099.25</v>
      </c>
      <c r="AD36" s="137">
        <f>$C$36*$J$21*$F$21*0.1295</f>
        <v>62548.5</v>
      </c>
      <c r="AE36" s="174"/>
      <c r="AF36" s="172"/>
      <c r="AG36" s="173"/>
      <c r="AH36" s="174"/>
      <c r="AI36" s="174"/>
      <c r="AJ36" s="174"/>
      <c r="AK36" s="174"/>
      <c r="AL36" s="174"/>
      <c r="AM36" s="174"/>
      <c r="AN36" s="174"/>
      <c r="AO36" s="174"/>
      <c r="AP36" s="174"/>
      <c r="AQ36" s="174"/>
      <c r="AR36" s="185"/>
      <c r="AS36" s="142">
        <f aca="true" t="shared" si="2" ref="AS36:AS59">SUM(AC36:AR36)</f>
        <v>268647.75</v>
      </c>
      <c r="AT36" s="36">
        <f aca="true" t="shared" si="3" ref="AT36:AT44">$D$35*$F$22*0.1295</f>
        <v>897435</v>
      </c>
      <c r="AU36" s="36">
        <f>$D$36*$F$22*0.1295</f>
        <v>378787.5</v>
      </c>
      <c r="AV36" s="143"/>
      <c r="AW36" s="170"/>
      <c r="AX36" s="167"/>
      <c r="AY36" s="170"/>
      <c r="AZ36" s="167"/>
      <c r="BA36" s="167"/>
      <c r="BB36" s="167"/>
      <c r="BC36" s="167"/>
      <c r="BD36" s="167"/>
      <c r="BE36" s="167"/>
      <c r="BF36" s="167"/>
      <c r="BG36" s="167"/>
      <c r="BH36" s="167"/>
      <c r="BI36" s="178"/>
      <c r="BJ36" s="47">
        <f aca="true" t="shared" si="4" ref="BJ36:BJ59">SUM(AT36:BI36)</f>
        <v>1276222.5</v>
      </c>
      <c r="BK36" s="137">
        <f>$D$35*$K$22*$F$22*0.1295</f>
        <v>134615.25</v>
      </c>
      <c r="BL36" s="137">
        <f>$D$36*$J$22*$F$22*0.1295</f>
        <v>56818.125</v>
      </c>
      <c r="BM36" s="139"/>
      <c r="BN36" s="175"/>
      <c r="BO36" s="173"/>
      <c r="BP36" s="173"/>
      <c r="BQ36" s="173"/>
      <c r="BR36" s="173"/>
      <c r="BS36" s="173"/>
      <c r="BT36" s="173"/>
      <c r="BU36" s="173"/>
      <c r="BV36" s="173"/>
      <c r="BW36" s="173"/>
      <c r="BX36" s="173"/>
      <c r="BY36" s="173"/>
      <c r="BZ36" s="189"/>
      <c r="CA36" s="142">
        <f aca="true" t="shared" si="5" ref="CA36:CA59">SUM(BK36:BZ36)</f>
        <v>191433.375</v>
      </c>
      <c r="CB36" s="36">
        <f aca="true" t="shared" si="6" ref="CB36:CB44">$E$35*$F$23*0.1295</f>
        <v>15656550</v>
      </c>
      <c r="CC36" s="36">
        <f>$E$36*$F$23*0.1295</f>
        <v>5736850</v>
      </c>
      <c r="CD36" s="186"/>
      <c r="CE36" s="170"/>
      <c r="CF36" s="167"/>
      <c r="CG36" s="170"/>
      <c r="CH36" s="167"/>
      <c r="CI36" s="167"/>
      <c r="CJ36" s="167"/>
      <c r="CK36" s="167"/>
      <c r="CL36" s="167"/>
      <c r="CM36" s="167"/>
      <c r="CN36" s="167"/>
      <c r="CO36" s="167"/>
      <c r="CP36" s="167"/>
      <c r="CQ36" s="178"/>
      <c r="CR36" s="47">
        <f aca="true" t="shared" si="7" ref="CR36:CR59">SUM(CB36:CQ36)</f>
        <v>21393400</v>
      </c>
      <c r="CS36" s="137">
        <f>$E$35*$K$23*$F$23*0.1295</f>
        <v>2348482.5</v>
      </c>
      <c r="CT36" s="137">
        <f>$E$36*$J$23*$F$23*0.1295</f>
        <v>860527.5</v>
      </c>
      <c r="CU36" s="139"/>
      <c r="CV36" s="175"/>
      <c r="CW36" s="173"/>
      <c r="CX36" s="173"/>
      <c r="CY36" s="173"/>
      <c r="CZ36" s="173"/>
      <c r="DA36" s="173"/>
      <c r="DB36" s="173"/>
      <c r="DC36" s="173"/>
      <c r="DD36" s="173"/>
      <c r="DE36" s="173"/>
      <c r="DF36" s="173"/>
      <c r="DG36" s="173"/>
      <c r="DH36" s="189"/>
      <c r="DI36" s="142">
        <f aca="true" t="shared" si="8" ref="DI36:DI59">SUM(CS36:DH36)</f>
        <v>3209010</v>
      </c>
      <c r="DJ36" s="36">
        <f aca="true" t="shared" si="9" ref="DJ36:DJ44">$F$35*$F$23*0.1295</f>
        <v>5218850</v>
      </c>
      <c r="DK36" s="36">
        <f>$F$36*$F$23*0.1295</f>
        <v>1911420</v>
      </c>
      <c r="DL36" s="143"/>
      <c r="DM36" s="176"/>
      <c r="DN36" s="167"/>
      <c r="DO36" s="170"/>
      <c r="DP36" s="167"/>
      <c r="DQ36" s="167"/>
      <c r="DR36" s="167"/>
      <c r="DS36" s="167"/>
      <c r="DT36" s="167"/>
      <c r="DU36" s="167"/>
      <c r="DV36" s="167"/>
      <c r="DW36" s="167"/>
      <c r="DX36" s="167"/>
      <c r="DY36" s="176"/>
      <c r="DZ36" s="78">
        <f>SUM(DJ36:DY36)</f>
        <v>7130270</v>
      </c>
      <c r="EA36" s="137">
        <f>$F$35*$K$23*$F$23*0.1295</f>
        <v>782827.5</v>
      </c>
      <c r="EB36" s="137">
        <f>$F$36*$J$23*$F$23*0.1295</f>
        <v>286713</v>
      </c>
      <c r="EC36" s="139"/>
      <c r="ED36" s="175"/>
      <c r="EE36" s="173"/>
      <c r="EF36" s="173"/>
      <c r="EG36" s="173"/>
      <c r="EH36" s="173"/>
      <c r="EI36" s="173"/>
      <c r="EJ36" s="173"/>
      <c r="EK36" s="173"/>
      <c r="EL36" s="173"/>
      <c r="EM36" s="173"/>
      <c r="EN36" s="173"/>
      <c r="EO36" s="173"/>
      <c r="EP36" s="189"/>
      <c r="EQ36" s="142">
        <f>SUM(EA36:EP36)</f>
        <v>1069540.5</v>
      </c>
      <c r="ER36" s="36">
        <f aca="true" t="shared" si="10" ref="ER36:ER44">$G$35*$F$24*0.1295</f>
        <v>790986</v>
      </c>
      <c r="ES36" s="36">
        <f>$G$36*$F$24*0.1295</f>
        <v>124320</v>
      </c>
      <c r="ET36" s="143"/>
      <c r="EU36" s="170"/>
      <c r="EV36" s="167"/>
      <c r="EW36" s="170"/>
      <c r="EX36" s="167"/>
      <c r="EY36" s="167"/>
      <c r="EZ36" s="167"/>
      <c r="FA36" s="167"/>
      <c r="FB36" s="167"/>
      <c r="FC36" s="167"/>
      <c r="FD36" s="167"/>
      <c r="FE36" s="167"/>
      <c r="FF36" s="170"/>
      <c r="FG36" s="168"/>
      <c r="FH36" s="78">
        <f>SUM(ER36:FG36)</f>
        <v>915306</v>
      </c>
      <c r="FI36" s="137">
        <f>$G$35*$K$24*$F$24*0.1295</f>
        <v>118647.9</v>
      </c>
      <c r="FJ36" s="137">
        <f>$G$36*$J$24*$F$24*0.1295</f>
        <v>18648</v>
      </c>
      <c r="FK36" s="139"/>
      <c r="FL36" s="175"/>
      <c r="FM36" s="173"/>
      <c r="FN36" s="173"/>
      <c r="FO36" s="173"/>
      <c r="FP36" s="173"/>
      <c r="FQ36" s="173"/>
      <c r="FR36" s="173"/>
      <c r="FS36" s="173"/>
      <c r="FT36" s="173"/>
      <c r="FU36" s="173"/>
      <c r="FV36" s="173"/>
      <c r="FW36" s="175"/>
      <c r="FX36" s="195"/>
      <c r="FY36" s="142">
        <f>SUM(FI36:FX36)</f>
        <v>137295.9</v>
      </c>
      <c r="FZ36" s="36">
        <f aca="true" t="shared" si="11" ref="FZ36:FZ44">$H$35*$F$24*0.1295</f>
        <v>264180</v>
      </c>
      <c r="GA36" s="36">
        <f>$H$36*$F$24*0.1295</f>
        <v>41958</v>
      </c>
      <c r="GB36" s="143"/>
      <c r="GC36" s="170"/>
      <c r="GD36" s="167"/>
      <c r="GE36" s="167"/>
      <c r="GF36" s="170"/>
      <c r="GG36" s="167"/>
      <c r="GH36" s="167"/>
      <c r="GI36" s="167"/>
      <c r="GJ36" s="167"/>
      <c r="GK36" s="167"/>
      <c r="GL36" s="167"/>
      <c r="GM36" s="167"/>
      <c r="GN36" s="167"/>
      <c r="GO36" s="168"/>
      <c r="GP36" s="47">
        <f>SUM(FZ36:GO36)</f>
        <v>306138</v>
      </c>
      <c r="GQ36" s="137">
        <f>$H$35*$K$24*$F$24*0.1295</f>
        <v>39627</v>
      </c>
      <c r="GR36" s="137">
        <f>$H$36*$J$24*$F$24*0.1295</f>
        <v>6293.7</v>
      </c>
      <c r="GS36" s="139"/>
      <c r="GT36" s="175"/>
      <c r="GU36" s="173"/>
      <c r="GV36" s="173"/>
      <c r="GW36" s="173"/>
      <c r="GX36" s="173"/>
      <c r="GY36" s="173"/>
      <c r="GZ36" s="173"/>
      <c r="HA36" s="173"/>
      <c r="HB36" s="173"/>
      <c r="HC36" s="173"/>
      <c r="HD36" s="173"/>
      <c r="HE36" s="175"/>
      <c r="HF36" s="195"/>
      <c r="HG36" s="142">
        <f>SUM(GQ36:HF36)</f>
        <v>45920.7</v>
      </c>
      <c r="HH36" s="81">
        <f aca="true" t="shared" si="12" ref="HH36:HH44">$I$35*$F$23*0.1295</f>
        <v>1396010</v>
      </c>
      <c r="HI36" s="81">
        <f>$I$36*$F$23*0.1295</f>
        <v>230510</v>
      </c>
      <c r="HJ36" s="186"/>
      <c r="HK36" s="176"/>
      <c r="HL36" s="167"/>
      <c r="HM36" s="170"/>
      <c r="HN36" s="167"/>
      <c r="HO36" s="167"/>
      <c r="HP36" s="167"/>
      <c r="HQ36" s="167"/>
      <c r="HR36" s="167"/>
      <c r="HS36" s="167"/>
      <c r="HT36" s="167"/>
      <c r="HU36" s="167"/>
      <c r="HV36" s="176"/>
      <c r="HW36" s="176"/>
      <c r="HX36" s="47">
        <f>SUM(HH36:HW36)</f>
        <v>1626520</v>
      </c>
      <c r="HY36" s="139">
        <f>$I$35*$K$23*$F$23*0.1295</f>
        <v>209401.5</v>
      </c>
      <c r="HZ36" s="139">
        <f>$I$36*$J$23*$F$23*0.1295</f>
        <v>34576.5</v>
      </c>
      <c r="IA36" s="139"/>
      <c r="IB36" s="175"/>
      <c r="IC36" s="173"/>
      <c r="ID36" s="173"/>
      <c r="IE36" s="173"/>
      <c r="IF36" s="173"/>
      <c r="IG36" s="173"/>
      <c r="IH36" s="173"/>
      <c r="II36" s="173"/>
      <c r="IJ36" s="173"/>
      <c r="IK36" s="173"/>
      <c r="IL36" s="173"/>
      <c r="IM36" s="175"/>
      <c r="IN36" s="195"/>
      <c r="IO36" s="138">
        <f>SUM(HY36:IN36)</f>
        <v>243978</v>
      </c>
      <c r="IP36" s="38">
        <f>SUM(AB36,BJ36,CR36,DZ36,FH36,GP36,HX36)*(1+$E$10)^-6</f>
        <v>25698793.76962845</v>
      </c>
      <c r="IQ36" s="198">
        <f>SUM(AC36,AD36,BK36,BL36,CS36,CT36,EA36,EB36,FI36,FJ36,GQ36,GR36,HY36,HZ36)*(1+$E$10)^-6</f>
        <v>3854819.0654442683</v>
      </c>
      <c r="IR36" s="198"/>
      <c r="IS36" s="196">
        <f>SUM(AS36,CA36,DI36,EQ36,FY36,HG36,IO36)*(1+$E$10)^-6</f>
        <v>3854819.0654442683</v>
      </c>
      <c r="IT36" s="159">
        <f>IP36-IS36</f>
        <v>21843974.704184182</v>
      </c>
    </row>
    <row r="37" spans="1:254" s="179" customFormat="1" ht="15.75" customHeight="1">
      <c r="A37" s="167">
        <v>2000</v>
      </c>
      <c r="B37" s="49">
        <v>2008</v>
      </c>
      <c r="C37" s="167">
        <v>353</v>
      </c>
      <c r="D37" s="167">
        <v>139</v>
      </c>
      <c r="E37" s="167">
        <v>1803</v>
      </c>
      <c r="F37" s="167">
        <v>601</v>
      </c>
      <c r="G37" s="167">
        <v>124</v>
      </c>
      <c r="H37" s="167">
        <v>41</v>
      </c>
      <c r="I37" s="167">
        <v>94</v>
      </c>
      <c r="J37" s="84">
        <f>SUM(E37:I37)</f>
        <v>2663</v>
      </c>
      <c r="K37" s="86">
        <f>SUM(C37:I37)</f>
        <v>3155</v>
      </c>
      <c r="L37" s="36">
        <f t="shared" si="0"/>
        <v>1373995</v>
      </c>
      <c r="M37" s="36">
        <f aca="true" t="shared" si="13" ref="M37:M45">$C$36*$F$21*0.1295</f>
        <v>416990</v>
      </c>
      <c r="N37" s="36">
        <f>$C$37*$F$21*0.1295</f>
        <v>457135</v>
      </c>
      <c r="O37" s="169"/>
      <c r="P37" s="170"/>
      <c r="Q37" s="171"/>
      <c r="R37" s="171"/>
      <c r="S37" s="171"/>
      <c r="T37" s="171"/>
      <c r="U37" s="171"/>
      <c r="V37" s="171"/>
      <c r="W37" s="171"/>
      <c r="X37" s="171"/>
      <c r="Y37" s="171"/>
      <c r="Z37" s="171"/>
      <c r="AA37" s="182"/>
      <c r="AB37" s="78">
        <f t="shared" si="1"/>
        <v>2248120</v>
      </c>
      <c r="AC37" s="137">
        <f>$C$35*$L$21*$F$21*0.1295</f>
        <v>206099.25</v>
      </c>
      <c r="AD37" s="137">
        <f>$C$36*$K$21*$F$21*0.1295</f>
        <v>62548.5</v>
      </c>
      <c r="AE37" s="137">
        <f>$C$37*$J$21*$F$21*0.1295</f>
        <v>68570.25</v>
      </c>
      <c r="AF37" s="172"/>
      <c r="AG37" s="173"/>
      <c r="AH37" s="174"/>
      <c r="AI37" s="174"/>
      <c r="AJ37" s="174"/>
      <c r="AK37" s="174"/>
      <c r="AL37" s="174"/>
      <c r="AM37" s="174"/>
      <c r="AN37" s="174"/>
      <c r="AO37" s="174"/>
      <c r="AP37" s="174"/>
      <c r="AQ37" s="174"/>
      <c r="AR37" s="185"/>
      <c r="AS37" s="142">
        <f t="shared" si="2"/>
        <v>337218</v>
      </c>
      <c r="AT37" s="36">
        <f t="shared" si="3"/>
        <v>897435</v>
      </c>
      <c r="AU37" s="36">
        <f aca="true" t="shared" si="14" ref="AU37:AU45">$D$36*$F$22*0.1295</f>
        <v>378787.5</v>
      </c>
      <c r="AV37" s="36">
        <f>$D$37*$F$22*0.1295</f>
        <v>270007.5</v>
      </c>
      <c r="AW37" s="170"/>
      <c r="AX37" s="167"/>
      <c r="AY37" s="170"/>
      <c r="AZ37" s="167"/>
      <c r="BA37" s="167"/>
      <c r="BB37" s="167"/>
      <c r="BC37" s="167"/>
      <c r="BD37" s="167"/>
      <c r="BE37" s="167"/>
      <c r="BF37" s="167"/>
      <c r="BG37" s="167"/>
      <c r="BH37" s="167"/>
      <c r="BI37" s="178"/>
      <c r="BJ37" s="47">
        <f t="shared" si="4"/>
        <v>1546230</v>
      </c>
      <c r="BK37" s="137">
        <f>$D$35*$L$22*$F$22*0.1295</f>
        <v>134615.25</v>
      </c>
      <c r="BL37" s="137">
        <f>$D$36*$K$22*$F$22*0.1295</f>
        <v>56818.125</v>
      </c>
      <c r="BM37" s="137">
        <f>$D$37*$J$22*$F$22*0.1295</f>
        <v>40501.12499999999</v>
      </c>
      <c r="BN37" s="175"/>
      <c r="BO37" s="173"/>
      <c r="BP37" s="173"/>
      <c r="BQ37" s="173"/>
      <c r="BR37" s="173"/>
      <c r="BS37" s="173"/>
      <c r="BT37" s="173"/>
      <c r="BU37" s="173"/>
      <c r="BV37" s="173"/>
      <c r="BW37" s="173"/>
      <c r="BX37" s="173"/>
      <c r="BY37" s="173"/>
      <c r="BZ37" s="189"/>
      <c r="CA37" s="142">
        <f t="shared" si="5"/>
        <v>231934.5</v>
      </c>
      <c r="CB37" s="36">
        <f t="shared" si="6"/>
        <v>15656550</v>
      </c>
      <c r="CC37" s="36">
        <f aca="true" t="shared" si="15" ref="CC37:CC45">$E$36*$F$23*0.1295</f>
        <v>5736850</v>
      </c>
      <c r="CD37" s="36">
        <f>$E$37*$F$23*0.1295</f>
        <v>4669770</v>
      </c>
      <c r="CE37" s="170"/>
      <c r="CF37" s="167"/>
      <c r="CG37" s="170"/>
      <c r="CH37" s="167"/>
      <c r="CI37" s="167"/>
      <c r="CJ37" s="167"/>
      <c r="CK37" s="167"/>
      <c r="CL37" s="167"/>
      <c r="CM37" s="167"/>
      <c r="CN37" s="167"/>
      <c r="CO37" s="167"/>
      <c r="CP37" s="167"/>
      <c r="CQ37" s="178"/>
      <c r="CR37" s="47">
        <f t="shared" si="7"/>
        <v>26063170</v>
      </c>
      <c r="CS37" s="137">
        <f>$E$35*$L$23*$F$23*0.1295</f>
        <v>2348482.5</v>
      </c>
      <c r="CT37" s="137">
        <f>$E$36*$K$23*$F$23*0.1295</f>
        <v>860527.5</v>
      </c>
      <c r="CU37" s="137">
        <f>$E$37*$J$23*$F$23*0.1295</f>
        <v>700465.5</v>
      </c>
      <c r="CV37" s="175"/>
      <c r="CW37" s="173"/>
      <c r="CX37" s="173"/>
      <c r="CY37" s="173"/>
      <c r="CZ37" s="173"/>
      <c r="DA37" s="173"/>
      <c r="DB37" s="173"/>
      <c r="DC37" s="173"/>
      <c r="DD37" s="173"/>
      <c r="DE37" s="173"/>
      <c r="DF37" s="173"/>
      <c r="DG37" s="173"/>
      <c r="DH37" s="189"/>
      <c r="DI37" s="142">
        <f t="shared" si="8"/>
        <v>3909475.5</v>
      </c>
      <c r="DJ37" s="36">
        <f t="shared" si="9"/>
        <v>5218850</v>
      </c>
      <c r="DK37" s="36">
        <f aca="true" t="shared" si="16" ref="DK37:DK45">$F$36*$F$23*0.1295</f>
        <v>1911420</v>
      </c>
      <c r="DL37" s="36">
        <f>$F$37*$F$23*0.1295</f>
        <v>1556590</v>
      </c>
      <c r="DM37" s="176"/>
      <c r="DN37" s="167"/>
      <c r="DO37" s="170"/>
      <c r="DP37" s="167"/>
      <c r="DQ37" s="167"/>
      <c r="DR37" s="167"/>
      <c r="DS37" s="167"/>
      <c r="DT37" s="167"/>
      <c r="DU37" s="167"/>
      <c r="DV37" s="167"/>
      <c r="DW37" s="167"/>
      <c r="DX37" s="167"/>
      <c r="DY37" s="176"/>
      <c r="DZ37" s="78">
        <f>SUM(DJ37:DY37)</f>
        <v>8686860</v>
      </c>
      <c r="EA37" s="137">
        <f>$F$35*$L$23*$F$23*0.1295</f>
        <v>782827.5</v>
      </c>
      <c r="EB37" s="137">
        <f>$F$36*$K$23*$F$23*0.1295</f>
        <v>286713</v>
      </c>
      <c r="EC37" s="137">
        <f>$F$37*$J$23*$F$23*0.1295</f>
        <v>233488.49999999997</v>
      </c>
      <c r="ED37" s="175"/>
      <c r="EE37" s="173"/>
      <c r="EF37" s="173"/>
      <c r="EG37" s="173"/>
      <c r="EH37" s="173"/>
      <c r="EI37" s="173"/>
      <c r="EJ37" s="173"/>
      <c r="EK37" s="173"/>
      <c r="EL37" s="173"/>
      <c r="EM37" s="173"/>
      <c r="EN37" s="173"/>
      <c r="EO37" s="173"/>
      <c r="EP37" s="189"/>
      <c r="EQ37" s="142">
        <f>SUM(EA37:EP37)</f>
        <v>1303029</v>
      </c>
      <c r="ER37" s="36">
        <f t="shared" si="10"/>
        <v>790986</v>
      </c>
      <c r="ES37" s="36">
        <f aca="true" t="shared" si="17" ref="ES37:ES45">$G$36*$F$24*0.1295</f>
        <v>124320</v>
      </c>
      <c r="ET37" s="36">
        <f>$G$37*$F$24*0.1295</f>
        <v>192696</v>
      </c>
      <c r="EU37" s="170"/>
      <c r="EV37" s="167"/>
      <c r="EW37" s="170"/>
      <c r="EX37" s="167"/>
      <c r="EY37" s="167"/>
      <c r="EZ37" s="167"/>
      <c r="FA37" s="167"/>
      <c r="FB37" s="167"/>
      <c r="FC37" s="167"/>
      <c r="FD37" s="167"/>
      <c r="FE37" s="167"/>
      <c r="FF37" s="170"/>
      <c r="FG37" s="168"/>
      <c r="FH37" s="78">
        <f>SUM(ER37:FG37)</f>
        <v>1108002</v>
      </c>
      <c r="FI37" s="137">
        <f>$G$35*$L$24*$F$24*0.1295</f>
        <v>118647.9</v>
      </c>
      <c r="FJ37" s="137">
        <f>$G$36*$K$24*$F$24*0.1295</f>
        <v>18648</v>
      </c>
      <c r="FK37" s="137">
        <f>$G$37*$J$24*$F$24*0.1295</f>
        <v>28904.399999999998</v>
      </c>
      <c r="FL37" s="175"/>
      <c r="FM37" s="173"/>
      <c r="FN37" s="173"/>
      <c r="FO37" s="173"/>
      <c r="FP37" s="173"/>
      <c r="FQ37" s="173"/>
      <c r="FR37" s="173"/>
      <c r="FS37" s="173"/>
      <c r="FT37" s="173"/>
      <c r="FU37" s="173"/>
      <c r="FV37" s="173"/>
      <c r="FW37" s="175"/>
      <c r="FX37" s="195"/>
      <c r="FY37" s="142">
        <f>SUM(FI37:FX37)</f>
        <v>166200.3</v>
      </c>
      <c r="FZ37" s="36">
        <f t="shared" si="11"/>
        <v>264180</v>
      </c>
      <c r="GA37" s="36">
        <f aca="true" t="shared" si="18" ref="GA37:GA45">$H$36*$F$24*0.1295</f>
        <v>41958</v>
      </c>
      <c r="GB37" s="36">
        <f>$H$37*$F$24*0.1295</f>
        <v>63714</v>
      </c>
      <c r="GC37" s="170"/>
      <c r="GD37" s="167"/>
      <c r="GE37" s="167"/>
      <c r="GF37" s="170"/>
      <c r="GG37" s="167"/>
      <c r="GH37" s="167"/>
      <c r="GI37" s="167"/>
      <c r="GJ37" s="167"/>
      <c r="GK37" s="167"/>
      <c r="GL37" s="167"/>
      <c r="GM37" s="167"/>
      <c r="GN37" s="167"/>
      <c r="GO37" s="168"/>
      <c r="GP37" s="47">
        <f>SUM(FZ37:GO37)</f>
        <v>369852</v>
      </c>
      <c r="GQ37" s="137">
        <f>$H$35*$L$24*$F$24*0.1295</f>
        <v>39627</v>
      </c>
      <c r="GR37" s="137">
        <f>$H$36*$K$24*$F$24*0.1295</f>
        <v>6293.7</v>
      </c>
      <c r="GS37" s="137">
        <f>$H$37*$J$24*$F$24*0.1295</f>
        <v>9557.1</v>
      </c>
      <c r="GT37" s="175"/>
      <c r="GU37" s="173"/>
      <c r="GV37" s="173"/>
      <c r="GW37" s="173"/>
      <c r="GX37" s="173"/>
      <c r="GY37" s="173"/>
      <c r="GZ37" s="173"/>
      <c r="HA37" s="173"/>
      <c r="HB37" s="173"/>
      <c r="HC37" s="173"/>
      <c r="HD37" s="173"/>
      <c r="HE37" s="175"/>
      <c r="HF37" s="195"/>
      <c r="HG37" s="142">
        <f>SUM(GQ37:HF37)</f>
        <v>55477.799999999996</v>
      </c>
      <c r="HH37" s="81">
        <f t="shared" si="12"/>
        <v>1396010</v>
      </c>
      <c r="HI37" s="81">
        <f aca="true" t="shared" si="19" ref="HI37:HI45">$I$36*$F$23*0.1295</f>
        <v>230510</v>
      </c>
      <c r="HJ37" s="81">
        <f>$I$37*$F$23*0.1295</f>
        <v>243460</v>
      </c>
      <c r="HK37" s="176"/>
      <c r="HL37" s="167"/>
      <c r="HM37" s="170"/>
      <c r="HN37" s="167"/>
      <c r="HO37" s="167"/>
      <c r="HP37" s="167"/>
      <c r="HQ37" s="167"/>
      <c r="HR37" s="167"/>
      <c r="HS37" s="167"/>
      <c r="HT37" s="167"/>
      <c r="HU37" s="167"/>
      <c r="HV37" s="176"/>
      <c r="HW37" s="176"/>
      <c r="HX37" s="47">
        <f>SUM(HH37:HW37)</f>
        <v>1869980</v>
      </c>
      <c r="HY37" s="139">
        <f>$I$35*$L$23*$F$23*0.1295</f>
        <v>209401.5</v>
      </c>
      <c r="HZ37" s="139">
        <f>$I$36*$K$23*$F$23*0.1295</f>
        <v>34576.5</v>
      </c>
      <c r="IA37" s="139">
        <f>$I$37*$J$23*$F$23*0.1295</f>
        <v>36519</v>
      </c>
      <c r="IB37" s="175"/>
      <c r="IC37" s="173"/>
      <c r="ID37" s="173"/>
      <c r="IE37" s="173"/>
      <c r="IF37" s="173"/>
      <c r="IG37" s="173"/>
      <c r="IH37" s="173"/>
      <c r="II37" s="173"/>
      <c r="IJ37" s="173"/>
      <c r="IK37" s="173"/>
      <c r="IL37" s="173"/>
      <c r="IM37" s="175"/>
      <c r="IN37" s="195"/>
      <c r="IO37" s="138">
        <f>SUM(HY37:IN37)</f>
        <v>280497</v>
      </c>
      <c r="IP37" s="38">
        <f>SUM(AB37,BJ37,CR37,DZ37,FH37,GP37,HX37)*(1+$E$10)^-6</f>
        <v>31260615.085996483</v>
      </c>
      <c r="IQ37" s="198">
        <f>SUM(AC37,AD37,AE37,BK37,BL37,BM37,CS37,CT37,CU37,EA37,EB37,EC37,FI37,FJ37,FK37,GQ37,GR37,GS37,HY37,HZ37,IA37)*(1+$E$10)^-6</f>
        <v>4689092.262899473</v>
      </c>
      <c r="IR37" s="198"/>
      <c r="IS37" s="196">
        <f>SUM(AS37,CA37,DI37,EQ37,FY37,HG37,IO37)*(1+$E$10)^-6</f>
        <v>4689092.262899472</v>
      </c>
      <c r="IT37" s="159">
        <f>IP37-IS37</f>
        <v>26571522.82309701</v>
      </c>
    </row>
    <row r="38" spans="1:254" ht="15.75">
      <c r="A38" s="9">
        <v>2001</v>
      </c>
      <c r="B38" s="49">
        <v>2008</v>
      </c>
      <c r="C38">
        <v>383</v>
      </c>
      <c r="D38">
        <v>84</v>
      </c>
      <c r="E38">
        <v>1099</v>
      </c>
      <c r="F38">
        <v>366</v>
      </c>
      <c r="G38">
        <v>142</v>
      </c>
      <c r="H38">
        <v>47</v>
      </c>
      <c r="I38">
        <v>100</v>
      </c>
      <c r="J38" s="84">
        <f>SUM(E38:I38)</f>
        <v>1754</v>
      </c>
      <c r="K38" s="86">
        <f>SUM(C38:I38)</f>
        <v>2221</v>
      </c>
      <c r="L38" s="36">
        <f t="shared" si="0"/>
        <v>1373995</v>
      </c>
      <c r="M38" s="36">
        <f t="shared" si="13"/>
        <v>416990</v>
      </c>
      <c r="N38" s="36">
        <f aca="true" t="shared" si="20" ref="N38:N46">$C$37*$F$21*0.1295</f>
        <v>457135</v>
      </c>
      <c r="O38" s="36">
        <f>$C$38*$F$21*0.1295</f>
        <v>495985</v>
      </c>
      <c r="P38" s="36"/>
      <c r="Q38" s="36"/>
      <c r="R38" s="36"/>
      <c r="S38" s="36"/>
      <c r="T38" s="36"/>
      <c r="U38" s="36"/>
      <c r="V38" s="36"/>
      <c r="W38" s="36"/>
      <c r="X38" s="36"/>
      <c r="Y38" s="36"/>
      <c r="Z38" s="36"/>
      <c r="AA38" s="47"/>
      <c r="AB38" s="78">
        <f t="shared" si="1"/>
        <v>2744105</v>
      </c>
      <c r="AC38" s="137">
        <f>$C$35*$M$21*$F$21*0.1295</f>
        <v>206099.25</v>
      </c>
      <c r="AD38" s="137">
        <f>$C$36*$L$21*$F$21*0.1295</f>
        <v>62548.5</v>
      </c>
      <c r="AE38" s="137">
        <f>$C$37*$K$21*$F$21*0.1295</f>
        <v>68570.25</v>
      </c>
      <c r="AF38" s="137">
        <f>$C$38*$J$21*$F$21*0.1295</f>
        <v>74397.75</v>
      </c>
      <c r="AG38" s="137"/>
      <c r="AH38" s="137"/>
      <c r="AI38" s="137"/>
      <c r="AJ38" s="137"/>
      <c r="AK38" s="137"/>
      <c r="AL38" s="137"/>
      <c r="AM38" s="137"/>
      <c r="AN38" s="137"/>
      <c r="AO38" s="137"/>
      <c r="AP38" s="137"/>
      <c r="AQ38" s="137"/>
      <c r="AR38" s="138"/>
      <c r="AS38" s="142">
        <f t="shared" si="2"/>
        <v>411615.75</v>
      </c>
      <c r="AT38" s="36">
        <f t="shared" si="3"/>
        <v>897435</v>
      </c>
      <c r="AU38" s="36">
        <f t="shared" si="14"/>
        <v>378787.5</v>
      </c>
      <c r="AV38" s="36">
        <f aca="true" t="shared" si="21" ref="AV38:AV46">$D$37*$F$22*0.1295</f>
        <v>270007.5</v>
      </c>
      <c r="AW38" s="36">
        <f>$D$38*$F$22*0.1295</f>
        <v>163170</v>
      </c>
      <c r="AX38" s="36"/>
      <c r="AY38" s="36"/>
      <c r="AZ38" s="36"/>
      <c r="BA38" s="36"/>
      <c r="BB38" s="36"/>
      <c r="BC38" s="36"/>
      <c r="BD38" s="36"/>
      <c r="BE38" s="36"/>
      <c r="BF38" s="36"/>
      <c r="BG38" s="36"/>
      <c r="BH38" s="36"/>
      <c r="BI38" s="47"/>
      <c r="BJ38" s="47">
        <f t="shared" si="4"/>
        <v>1709400</v>
      </c>
      <c r="BK38" s="137">
        <f>$D$35*$M$22*$F$22*0.1295</f>
        <v>134615.25</v>
      </c>
      <c r="BL38" s="137">
        <f>$D$36*$L$22*$F$22*0.1295</f>
        <v>56818.125</v>
      </c>
      <c r="BM38" s="137">
        <f>$D$37*$K$22*$F$22*0.1295</f>
        <v>40501.12499999999</v>
      </c>
      <c r="BN38" s="137">
        <f>$D$38*$J$22*$F$22*0.1295</f>
        <v>24475.5</v>
      </c>
      <c r="BO38" s="137"/>
      <c r="BP38" s="137"/>
      <c r="BQ38" s="137"/>
      <c r="BR38" s="137"/>
      <c r="BS38" s="137"/>
      <c r="BT38" s="137"/>
      <c r="BU38" s="137"/>
      <c r="BV38" s="137"/>
      <c r="BW38" s="137"/>
      <c r="BX38" s="137"/>
      <c r="BY38" s="137"/>
      <c r="BZ38" s="138"/>
      <c r="CA38" s="142">
        <f t="shared" si="5"/>
        <v>256410</v>
      </c>
      <c r="CB38" s="36">
        <f t="shared" si="6"/>
        <v>15656550</v>
      </c>
      <c r="CC38" s="36">
        <f t="shared" si="15"/>
        <v>5736850</v>
      </c>
      <c r="CD38" s="36">
        <f aca="true" t="shared" si="22" ref="CD38:CD46">$E$37*$F$23*0.1295</f>
        <v>4669770</v>
      </c>
      <c r="CE38" s="36">
        <f>$E$38*$F$23*0.1295</f>
        <v>2846410</v>
      </c>
      <c r="CF38" s="36"/>
      <c r="CG38" s="36"/>
      <c r="CH38" s="36"/>
      <c r="CI38" s="36"/>
      <c r="CJ38" s="36"/>
      <c r="CK38" s="36"/>
      <c r="CL38" s="36"/>
      <c r="CM38" s="36"/>
      <c r="CN38" s="36"/>
      <c r="CO38" s="36"/>
      <c r="CP38" s="36"/>
      <c r="CQ38" s="47"/>
      <c r="CR38" s="47">
        <f t="shared" si="7"/>
        <v>28909580</v>
      </c>
      <c r="CS38" s="137">
        <f>$E$35*$M$23*$F$23*0.1295</f>
        <v>2348482.5</v>
      </c>
      <c r="CT38" s="137">
        <f>$E$36*$L$23*$F$23*0.1295</f>
        <v>860527.5</v>
      </c>
      <c r="CU38" s="137">
        <f>$E$37*$K$23*$F$23*0.1295</f>
        <v>700465.5</v>
      </c>
      <c r="CV38" s="137">
        <f>$E$38*$J$23*$F$23*0.1295</f>
        <v>426961.5</v>
      </c>
      <c r="CW38" s="137"/>
      <c r="CX38" s="137"/>
      <c r="CY38" s="137"/>
      <c r="CZ38" s="137"/>
      <c r="DA38" s="137"/>
      <c r="DB38" s="137"/>
      <c r="DC38" s="137"/>
      <c r="DD38" s="137"/>
      <c r="DE38" s="137"/>
      <c r="DF38" s="137"/>
      <c r="DG38" s="137"/>
      <c r="DH38" s="138"/>
      <c r="DI38" s="142">
        <f t="shared" si="8"/>
        <v>4336437</v>
      </c>
      <c r="DJ38" s="36">
        <f t="shared" si="9"/>
        <v>5218850</v>
      </c>
      <c r="DK38" s="36">
        <f t="shared" si="16"/>
        <v>1911420</v>
      </c>
      <c r="DL38" s="36">
        <f aca="true" t="shared" si="23" ref="DL38:DL46">$F$37*$F$23*0.1295</f>
        <v>1556590</v>
      </c>
      <c r="DM38" s="36">
        <f>$F$38*$F$23*0.1295</f>
        <v>947940</v>
      </c>
      <c r="DN38" s="36"/>
      <c r="DO38" s="36"/>
      <c r="DP38" s="36"/>
      <c r="DQ38" s="36"/>
      <c r="DR38" s="36"/>
      <c r="DS38" s="36"/>
      <c r="DT38" s="36"/>
      <c r="DU38" s="36"/>
      <c r="DV38" s="36"/>
      <c r="DW38" s="36"/>
      <c r="DX38" s="36"/>
      <c r="DY38" s="47"/>
      <c r="DZ38" s="78">
        <f>SUM(DJ38:DY38)</f>
        <v>9634800</v>
      </c>
      <c r="EA38" s="137">
        <f>$F$35*$M$23*$F$23*0.1295</f>
        <v>782827.5</v>
      </c>
      <c r="EB38" s="137">
        <f>$F$36*$L$23*$F$23*0.1295</f>
        <v>286713</v>
      </c>
      <c r="EC38" s="137">
        <f>$F$37*$K$23*$F$23*0.1295</f>
        <v>233488.49999999997</v>
      </c>
      <c r="ED38" s="137">
        <f>$F$38*$J$23*$F$23*0.1295</f>
        <v>142191</v>
      </c>
      <c r="EE38" s="137"/>
      <c r="EF38" s="137"/>
      <c r="EG38" s="137"/>
      <c r="EH38" s="137"/>
      <c r="EI38" s="137"/>
      <c r="EJ38" s="137"/>
      <c r="EK38" s="137"/>
      <c r="EL38" s="137"/>
      <c r="EM38" s="137"/>
      <c r="EN38" s="137"/>
      <c r="EO38" s="137"/>
      <c r="EP38" s="138"/>
      <c r="EQ38" s="142">
        <f>SUM(EA38:EP38)</f>
        <v>1445220</v>
      </c>
      <c r="ER38" s="36">
        <f t="shared" si="10"/>
        <v>790986</v>
      </c>
      <c r="ES38" s="36">
        <f t="shared" si="17"/>
        <v>124320</v>
      </c>
      <c r="ET38" s="36">
        <f aca="true" t="shared" si="24" ref="ET38:ET46">$G$37*$F$24*0.1295</f>
        <v>192696</v>
      </c>
      <c r="EU38" s="36">
        <f>$G$38*$F$24*0.1295</f>
        <v>220668</v>
      </c>
      <c r="EV38" s="36"/>
      <c r="EW38" s="36"/>
      <c r="EX38" s="36"/>
      <c r="EY38" s="36"/>
      <c r="EZ38" s="36"/>
      <c r="FA38" s="36"/>
      <c r="FB38" s="36"/>
      <c r="FC38" s="36"/>
      <c r="FD38" s="36"/>
      <c r="FE38" s="36"/>
      <c r="FF38" s="36"/>
      <c r="FG38" s="47"/>
      <c r="FH38" s="78">
        <f>SUM(ER38:FG38)</f>
        <v>1328670</v>
      </c>
      <c r="FI38" s="137">
        <f>$G$35*$M$24*$F$24*0.1295</f>
        <v>118647.9</v>
      </c>
      <c r="FJ38" s="137">
        <f>$G$36*$L$24*$F$24*0.1295</f>
        <v>18648</v>
      </c>
      <c r="FK38" s="137">
        <f>$G$37*$K$24*$F$24*0.1295</f>
        <v>28904.399999999998</v>
      </c>
      <c r="FL38" s="137">
        <f>$G$38*$J$24*$F$24*0.1295</f>
        <v>33100.200000000004</v>
      </c>
      <c r="FM38" s="137"/>
      <c r="FN38" s="137"/>
      <c r="FO38" s="137"/>
      <c r="FP38" s="137"/>
      <c r="FQ38" s="137"/>
      <c r="FR38" s="137"/>
      <c r="FS38" s="137"/>
      <c r="FT38" s="137"/>
      <c r="FU38" s="137"/>
      <c r="FV38" s="137"/>
      <c r="FW38" s="137"/>
      <c r="FX38" s="138"/>
      <c r="FY38" s="142">
        <f>SUM(FI38:FX38)</f>
        <v>199300.5</v>
      </c>
      <c r="FZ38" s="36">
        <f t="shared" si="11"/>
        <v>264180</v>
      </c>
      <c r="GA38" s="36">
        <f t="shared" si="18"/>
        <v>41958</v>
      </c>
      <c r="GB38" s="36">
        <f aca="true" t="shared" si="25" ref="GB38:GB46">$H$37*$F$24*0.1295</f>
        <v>63714</v>
      </c>
      <c r="GC38" s="36">
        <f>$H$38*$F$24*0.1295</f>
        <v>73038</v>
      </c>
      <c r="GD38" s="36"/>
      <c r="GE38" s="36"/>
      <c r="GF38" s="36"/>
      <c r="GG38" s="36"/>
      <c r="GH38" s="36"/>
      <c r="GI38" s="36"/>
      <c r="GJ38" s="36"/>
      <c r="GK38" s="36"/>
      <c r="GL38" s="36"/>
      <c r="GM38" s="36"/>
      <c r="GN38" s="36"/>
      <c r="GO38" s="47"/>
      <c r="GP38" s="47">
        <f>SUM(FZ38:GO38)</f>
        <v>442890</v>
      </c>
      <c r="GQ38" s="137">
        <f>$H$35*$M$24*$F$24*0.1295</f>
        <v>39627</v>
      </c>
      <c r="GR38" s="137">
        <f>$H$36*$L$24*$F$24*0.1295</f>
        <v>6293.7</v>
      </c>
      <c r="GS38" s="137">
        <f>$H$37*$K$24*$F$24*0.1295</f>
        <v>9557.1</v>
      </c>
      <c r="GT38" s="137">
        <f>$H$38*$J$24*$F$24*0.1295</f>
        <v>10955.7</v>
      </c>
      <c r="GU38" s="137"/>
      <c r="GV38" s="137"/>
      <c r="GW38" s="137"/>
      <c r="GX38" s="137"/>
      <c r="GY38" s="137"/>
      <c r="GZ38" s="137"/>
      <c r="HA38" s="137"/>
      <c r="HB38" s="137"/>
      <c r="HC38" s="137"/>
      <c r="HD38" s="137"/>
      <c r="HE38" s="137"/>
      <c r="HF38" s="138"/>
      <c r="HG38" s="142">
        <f>SUM(GQ38:HF38)</f>
        <v>66433.5</v>
      </c>
      <c r="HH38" s="81">
        <f t="shared" si="12"/>
        <v>1396010</v>
      </c>
      <c r="HI38" s="81">
        <f t="shared" si="19"/>
        <v>230510</v>
      </c>
      <c r="HJ38" s="81">
        <f aca="true" t="shared" si="26" ref="HJ38:HJ46">$I$37*$F$23*0.1295</f>
        <v>243460</v>
      </c>
      <c r="HK38" s="81">
        <f>$I$38*$F$23*0.1295</f>
        <v>259000</v>
      </c>
      <c r="HL38" s="36"/>
      <c r="HM38" s="36"/>
      <c r="HN38" s="36"/>
      <c r="HO38" s="36"/>
      <c r="HP38" s="36"/>
      <c r="HQ38" s="36"/>
      <c r="HR38" s="36"/>
      <c r="HS38" s="36"/>
      <c r="HT38" s="36"/>
      <c r="HU38" s="36"/>
      <c r="HV38" s="36"/>
      <c r="HW38" s="36"/>
      <c r="HX38" s="47">
        <f>SUM(HH38:HW38)</f>
        <v>2128980</v>
      </c>
      <c r="HY38" s="139">
        <f>$I$35*$M$23*$F$23*0.1295</f>
        <v>209401.5</v>
      </c>
      <c r="HZ38" s="139">
        <f>$I$36*$L$23*$F$23*0.1295</f>
        <v>34576.5</v>
      </c>
      <c r="IA38" s="139">
        <f>$I$37*$K$23*$F$23*0.1295</f>
        <v>36519</v>
      </c>
      <c r="IB38" s="139">
        <f>$I$38*$J$23*$F$23*0.1295</f>
        <v>38850</v>
      </c>
      <c r="IC38" s="137"/>
      <c r="ID38" s="137"/>
      <c r="IE38" s="137"/>
      <c r="IF38" s="137"/>
      <c r="IG38" s="137"/>
      <c r="IH38" s="137"/>
      <c r="II38" s="137"/>
      <c r="IJ38" s="137"/>
      <c r="IK38" s="137"/>
      <c r="IL38" s="137"/>
      <c r="IM38" s="137"/>
      <c r="IN38" s="138"/>
      <c r="IO38" s="138">
        <f>SUM(HY38:IN38)</f>
        <v>319347</v>
      </c>
      <c r="IP38" s="38">
        <f>SUM(AB38,BJ38,CR38,DZ38,FH38,GP38,HX38)*(1+$E$10)^-6</f>
        <v>34996326.81300813</v>
      </c>
      <c r="IQ38" s="142">
        <f>SUM(AC38:AF38,BK38:BN38,CS38:CV38,EA38:ED38,FI38:FL38,GQ38:GT38,HY38:IB38)*(1+$E$10)^-6</f>
        <v>5249449.021951221</v>
      </c>
      <c r="IR38" s="142"/>
      <c r="IS38" s="196">
        <f>SUM(AS38,CA38,DI38,EQ38,FY38,HG38,IO38)*(1+$E$10)^-6</f>
        <v>5249449.02195122</v>
      </c>
      <c r="IT38" s="159">
        <f>IP38-IS38</f>
        <v>29746877.79105691</v>
      </c>
    </row>
    <row r="39" spans="1:254" ht="15.75">
      <c r="A39" s="9">
        <v>2002</v>
      </c>
      <c r="B39" s="49">
        <v>2009</v>
      </c>
      <c r="C39" s="31">
        <v>311</v>
      </c>
      <c r="D39" s="31">
        <v>124</v>
      </c>
      <c r="E39" s="31">
        <v>1419</v>
      </c>
      <c r="F39" s="31">
        <v>473</v>
      </c>
      <c r="G39" s="31">
        <v>156</v>
      </c>
      <c r="H39" s="31">
        <v>52</v>
      </c>
      <c r="I39" s="31">
        <v>105</v>
      </c>
      <c r="J39" s="84">
        <f aca="true" t="shared" si="27" ref="J39:J49">SUM(E39:I39)</f>
        <v>2205</v>
      </c>
      <c r="K39" s="86">
        <f aca="true" t="shared" si="28" ref="K39:K50">SUM(C39:I39)</f>
        <v>2640</v>
      </c>
      <c r="L39" s="36">
        <f t="shared" si="0"/>
        <v>1373995</v>
      </c>
      <c r="M39" s="36">
        <f t="shared" si="13"/>
        <v>416990</v>
      </c>
      <c r="N39" s="36">
        <f t="shared" si="20"/>
        <v>457135</v>
      </c>
      <c r="O39" s="36">
        <f aca="true" t="shared" si="29" ref="O39:O47">$C$38*$F$21*0.1295</f>
        <v>495985</v>
      </c>
      <c r="P39" s="36">
        <f aca="true" t="shared" si="30" ref="P39:P48">$C$39*$F$21*0.1295</f>
        <v>402745</v>
      </c>
      <c r="Q39" s="36"/>
      <c r="R39" s="36"/>
      <c r="S39" s="36"/>
      <c r="T39" s="36"/>
      <c r="U39" s="36"/>
      <c r="V39" s="36"/>
      <c r="W39" s="36"/>
      <c r="X39" s="36"/>
      <c r="Y39" s="36"/>
      <c r="Z39" s="36"/>
      <c r="AA39" s="47"/>
      <c r="AB39" s="78">
        <f t="shared" si="1"/>
        <v>3146850</v>
      </c>
      <c r="AC39" s="137">
        <f>$C$35*$N$21*$F$21*0.1295</f>
        <v>206099.25</v>
      </c>
      <c r="AD39" s="137">
        <f>$C$36*$M$21*$F$21*0.1295</f>
        <v>62548.5</v>
      </c>
      <c r="AE39" s="137">
        <f>$C$37*$L$21*$F$21*0.1295</f>
        <v>68570.25</v>
      </c>
      <c r="AF39" s="137">
        <f>$C$38*$K$21*$F$21*0.1295</f>
        <v>74397.75</v>
      </c>
      <c r="AG39" s="137">
        <f>$C$39*$J$21*$F$21*0.1295</f>
        <v>60411.75</v>
      </c>
      <c r="AH39" s="137"/>
      <c r="AI39" s="137"/>
      <c r="AJ39" s="137"/>
      <c r="AK39" s="137"/>
      <c r="AL39" s="137"/>
      <c r="AM39" s="137"/>
      <c r="AN39" s="137"/>
      <c r="AO39" s="137"/>
      <c r="AP39" s="137"/>
      <c r="AQ39" s="137"/>
      <c r="AR39" s="138"/>
      <c r="AS39" s="142">
        <f t="shared" si="2"/>
        <v>472027.5</v>
      </c>
      <c r="AT39" s="36">
        <f t="shared" si="3"/>
        <v>897435</v>
      </c>
      <c r="AU39" s="36">
        <f t="shared" si="14"/>
        <v>378787.5</v>
      </c>
      <c r="AV39" s="36">
        <f t="shared" si="21"/>
        <v>270007.5</v>
      </c>
      <c r="AW39" s="36">
        <f aca="true" t="shared" si="31" ref="AW39:AW47">$D$38*$F$22*0.1295</f>
        <v>163170</v>
      </c>
      <c r="AX39" s="36">
        <f aca="true" t="shared" si="32" ref="AX39:AX48">$D$39*$F$22*0.1295</f>
        <v>240870</v>
      </c>
      <c r="AY39" s="36"/>
      <c r="AZ39" s="36"/>
      <c r="BA39" s="36"/>
      <c r="BB39" s="36"/>
      <c r="BC39" s="36"/>
      <c r="BD39" s="36"/>
      <c r="BE39" s="36"/>
      <c r="BF39" s="36"/>
      <c r="BG39" s="36"/>
      <c r="BH39" s="37"/>
      <c r="BI39" s="46"/>
      <c r="BJ39" s="47">
        <f t="shared" si="4"/>
        <v>1950270</v>
      </c>
      <c r="BK39" s="137">
        <f>$D$35*$N$22*$F$22*0.1295</f>
        <v>134615.25</v>
      </c>
      <c r="BL39" s="137">
        <f>$D$36*$M$22*$F$22*0.1295</f>
        <v>56818.125</v>
      </c>
      <c r="BM39" s="137">
        <f>$D$37*$L$22*$F$22*0.1295</f>
        <v>40501.12499999999</v>
      </c>
      <c r="BN39" s="137">
        <f>$D$38*$K$22*$F$22*0.1295</f>
        <v>24475.5</v>
      </c>
      <c r="BO39" s="137">
        <f>$D$39*$J$22*$F$22*0.1295</f>
        <v>36130.49999999999</v>
      </c>
      <c r="BP39" s="137"/>
      <c r="BQ39" s="137"/>
      <c r="BR39" s="137"/>
      <c r="BS39" s="137"/>
      <c r="BT39" s="137"/>
      <c r="BU39" s="137"/>
      <c r="BV39" s="137"/>
      <c r="BW39" s="137"/>
      <c r="BX39" s="137"/>
      <c r="BY39" s="137"/>
      <c r="BZ39" s="138"/>
      <c r="CA39" s="142">
        <f t="shared" si="5"/>
        <v>292540.5</v>
      </c>
      <c r="CB39" s="36">
        <f t="shared" si="6"/>
        <v>15656550</v>
      </c>
      <c r="CC39" s="36">
        <f t="shared" si="15"/>
        <v>5736850</v>
      </c>
      <c r="CD39" s="36">
        <f t="shared" si="22"/>
        <v>4669770</v>
      </c>
      <c r="CE39" s="36">
        <f aca="true" t="shared" si="33" ref="CE39:CE47">$E$38*$F$23*0.1295</f>
        <v>2846410</v>
      </c>
      <c r="CF39" s="36">
        <f aca="true" t="shared" si="34" ref="CF39:CF48">$E$39*$F$23*0.1295</f>
        <v>3675210</v>
      </c>
      <c r="CG39" s="36"/>
      <c r="CH39" s="36"/>
      <c r="CI39" s="36"/>
      <c r="CJ39" s="36"/>
      <c r="CK39" s="36"/>
      <c r="CL39" s="36"/>
      <c r="CM39" s="36"/>
      <c r="CN39" s="36"/>
      <c r="CO39" s="36"/>
      <c r="CP39" s="36"/>
      <c r="CQ39" s="47"/>
      <c r="CR39" s="47">
        <f t="shared" si="7"/>
        <v>32584790</v>
      </c>
      <c r="CS39" s="137">
        <f>$E$35*$N$23*$F$23*0.1295</f>
        <v>2348482.5</v>
      </c>
      <c r="CT39" s="137">
        <f>$E$36*$M$23*$F$23*0.1295</f>
        <v>860527.5</v>
      </c>
      <c r="CU39" s="137">
        <f>$E$37*$L$23*$F$23*0.1295</f>
        <v>700465.5</v>
      </c>
      <c r="CV39" s="137">
        <f>$E$38*$K$23*$F$23*0.1295</f>
        <v>426961.5</v>
      </c>
      <c r="CW39" s="137">
        <f>$E$39*$J$23*$F$23*0.1295</f>
        <v>551281.5</v>
      </c>
      <c r="CX39" s="137"/>
      <c r="CY39" s="137"/>
      <c r="CZ39" s="137"/>
      <c r="DA39" s="137"/>
      <c r="DB39" s="137"/>
      <c r="DC39" s="137"/>
      <c r="DD39" s="137"/>
      <c r="DE39" s="137"/>
      <c r="DF39" s="137"/>
      <c r="DG39" s="137"/>
      <c r="DH39" s="138"/>
      <c r="DI39" s="142">
        <f t="shared" si="8"/>
        <v>4887718.5</v>
      </c>
      <c r="DJ39" s="36">
        <f t="shared" si="9"/>
        <v>5218850</v>
      </c>
      <c r="DK39" s="36">
        <f t="shared" si="16"/>
        <v>1911420</v>
      </c>
      <c r="DL39" s="36">
        <f t="shared" si="23"/>
        <v>1556590</v>
      </c>
      <c r="DM39" s="36">
        <f aca="true" t="shared" si="35" ref="DM39:DM47">$F$38*$F$23*0.1295</f>
        <v>947940</v>
      </c>
      <c r="DN39" s="36">
        <f aca="true" t="shared" si="36" ref="DN39:DN48">$F$39*$F$23*0.1295</f>
        <v>1225070</v>
      </c>
      <c r="DO39" s="36"/>
      <c r="DP39" s="36"/>
      <c r="DQ39" s="36"/>
      <c r="DR39" s="36"/>
      <c r="DS39" s="36"/>
      <c r="DT39" s="36"/>
      <c r="DU39" s="36"/>
      <c r="DV39" s="36"/>
      <c r="DW39" s="36"/>
      <c r="DX39" s="36"/>
      <c r="DY39" s="47"/>
      <c r="DZ39" s="78">
        <f>SUM(DJ39:DY39)</f>
        <v>10859870</v>
      </c>
      <c r="EA39" s="137">
        <f>$F$35*$N$23*$F$23*0.1295</f>
        <v>782827.5</v>
      </c>
      <c r="EB39" s="137">
        <f>$F$36*$M$23*$F$23*0.1295</f>
        <v>286713</v>
      </c>
      <c r="EC39" s="137">
        <f>$F$37*$L$23*$F$23*0.1295</f>
        <v>233488.49999999997</v>
      </c>
      <c r="ED39" s="137">
        <f>$F$38*$K$23*$F$23*0.1295</f>
        <v>142191</v>
      </c>
      <c r="EE39" s="137">
        <f>$F$39*$J$23*$F$23*0.1295</f>
        <v>183760.5</v>
      </c>
      <c r="EF39" s="137"/>
      <c r="EG39" s="137"/>
      <c r="EH39" s="137"/>
      <c r="EI39" s="137"/>
      <c r="EJ39" s="137"/>
      <c r="EK39" s="137"/>
      <c r="EL39" s="137"/>
      <c r="EM39" s="137"/>
      <c r="EN39" s="137"/>
      <c r="EO39" s="137"/>
      <c r="EP39" s="138"/>
      <c r="EQ39" s="142">
        <f>SUM(EA39:EP39)</f>
        <v>1628980.5</v>
      </c>
      <c r="ER39" s="36">
        <f t="shared" si="10"/>
        <v>790986</v>
      </c>
      <c r="ES39" s="36">
        <f t="shared" si="17"/>
        <v>124320</v>
      </c>
      <c r="ET39" s="36">
        <f t="shared" si="24"/>
        <v>192696</v>
      </c>
      <c r="EU39" s="36">
        <f aca="true" t="shared" si="37" ref="EU39:EU47">$G$38*$F$24*0.1295</f>
        <v>220668</v>
      </c>
      <c r="EV39" s="36">
        <f aca="true" t="shared" si="38" ref="EV39:EV48">$G$39*$F$24*0.1295</f>
        <v>242424</v>
      </c>
      <c r="EW39" s="36"/>
      <c r="EX39" s="36"/>
      <c r="EY39" s="36"/>
      <c r="EZ39" s="36"/>
      <c r="FA39" s="36"/>
      <c r="FB39" s="36"/>
      <c r="FC39" s="36"/>
      <c r="FD39" s="36"/>
      <c r="FE39" s="36"/>
      <c r="FF39" s="36"/>
      <c r="FG39" s="47"/>
      <c r="FH39" s="78">
        <f>SUM(ER39:FG39)</f>
        <v>1571094</v>
      </c>
      <c r="FI39" s="137">
        <f>$G$35*$N$24*$F$24*0.1295</f>
        <v>118647.9</v>
      </c>
      <c r="FJ39" s="137">
        <f>$G$36*$M$24*$F$24*0.1295</f>
        <v>18648</v>
      </c>
      <c r="FK39" s="137">
        <f>$G$37*$L$24*$F$24*0.1295</f>
        <v>28904.399999999998</v>
      </c>
      <c r="FL39" s="137">
        <f>$G$38*$K$24*$F$24*0.1295</f>
        <v>33100.200000000004</v>
      </c>
      <c r="FM39" s="137">
        <f>$G$39*$J$24*$F$24*0.1295</f>
        <v>36363.6</v>
      </c>
      <c r="FN39" s="137"/>
      <c r="FO39" s="137"/>
      <c r="FP39" s="137"/>
      <c r="FQ39" s="137"/>
      <c r="FR39" s="137"/>
      <c r="FS39" s="137"/>
      <c r="FT39" s="137"/>
      <c r="FU39" s="137"/>
      <c r="FV39" s="137"/>
      <c r="FW39" s="137"/>
      <c r="FX39" s="138"/>
      <c r="FY39" s="142">
        <f>SUM(FI39:FX39)</f>
        <v>235664.1</v>
      </c>
      <c r="FZ39" s="36">
        <f t="shared" si="11"/>
        <v>264180</v>
      </c>
      <c r="GA39" s="36">
        <f t="shared" si="18"/>
        <v>41958</v>
      </c>
      <c r="GB39" s="36">
        <f t="shared" si="25"/>
        <v>63714</v>
      </c>
      <c r="GC39" s="36">
        <f aca="true" t="shared" si="39" ref="GC39:GC47">$H$38*$F$24*0.1295</f>
        <v>73038</v>
      </c>
      <c r="GD39" s="36">
        <f aca="true" t="shared" si="40" ref="GD39:GD48">$H$39*$F$24*0.1295</f>
        <v>80808</v>
      </c>
      <c r="GE39" s="36"/>
      <c r="GF39" s="36"/>
      <c r="GG39" s="36"/>
      <c r="GH39" s="36"/>
      <c r="GI39" s="36"/>
      <c r="GJ39" s="36"/>
      <c r="GK39" s="36"/>
      <c r="GL39" s="36"/>
      <c r="GM39" s="36"/>
      <c r="GN39" s="36"/>
      <c r="GO39" s="47"/>
      <c r="GP39" s="47">
        <f>SUM(FZ39:GO39)</f>
        <v>523698</v>
      </c>
      <c r="GQ39" s="137">
        <f>$H$35*$N$24*$F$24*0.1295</f>
        <v>39627</v>
      </c>
      <c r="GR39" s="137">
        <f>$H$36*$M$24*$F$24*0.1295</f>
        <v>6293.7</v>
      </c>
      <c r="GS39" s="137">
        <f>$H$37*$L$24*$F$24*0.1295</f>
        <v>9557.1</v>
      </c>
      <c r="GT39" s="137">
        <f>$H$38*$K$24*$F$24*0.1295</f>
        <v>10955.7</v>
      </c>
      <c r="GU39" s="137">
        <f>$H$39*$J$24*$F$24*0.1295</f>
        <v>12121.2</v>
      </c>
      <c r="GV39" s="137"/>
      <c r="GW39" s="137"/>
      <c r="GX39" s="137"/>
      <c r="GY39" s="137"/>
      <c r="GZ39" s="137"/>
      <c r="HA39" s="137"/>
      <c r="HB39" s="137"/>
      <c r="HC39" s="137"/>
      <c r="HD39" s="137"/>
      <c r="HE39" s="137"/>
      <c r="HF39" s="138"/>
      <c r="HG39" s="142">
        <f>SUM(GQ39:HF39)</f>
        <v>78554.7</v>
      </c>
      <c r="HH39" s="81">
        <f t="shared" si="12"/>
        <v>1396010</v>
      </c>
      <c r="HI39" s="81">
        <f t="shared" si="19"/>
        <v>230510</v>
      </c>
      <c r="HJ39" s="81">
        <f t="shared" si="26"/>
        <v>243460</v>
      </c>
      <c r="HK39" s="81">
        <f aca="true" t="shared" si="41" ref="HK39:HK47">$I$38*$F$23*0.1295</f>
        <v>259000</v>
      </c>
      <c r="HL39" s="36">
        <f aca="true" t="shared" si="42" ref="HL39:HL48">$I$39*$F$23*0.1295</f>
        <v>271950</v>
      </c>
      <c r="HM39" s="36"/>
      <c r="HN39" s="36"/>
      <c r="HO39" s="36"/>
      <c r="HP39" s="36"/>
      <c r="HQ39" s="36"/>
      <c r="HR39" s="36"/>
      <c r="HS39" s="36"/>
      <c r="HT39" s="36"/>
      <c r="HU39" s="36"/>
      <c r="HV39" s="36"/>
      <c r="HW39" s="36"/>
      <c r="HX39" s="47">
        <f>SUM(HH39:HW39)</f>
        <v>2400930</v>
      </c>
      <c r="HY39" s="139">
        <f>$I$35*$N$23*$F$23*0.1295</f>
        <v>209401.5</v>
      </c>
      <c r="HZ39" s="139">
        <f>$I$36*$M$23*$F$23*0.1295</f>
        <v>34576.5</v>
      </c>
      <c r="IA39" s="139">
        <f>$I$37*$L$23*$F$23*0.1295</f>
        <v>36519</v>
      </c>
      <c r="IB39" s="139">
        <f>$I$38*$K$23*$F$23*0.1295</f>
        <v>38850</v>
      </c>
      <c r="IC39" s="137">
        <f>$I$39*$J$23*$F$23*0.1295</f>
        <v>40792.5</v>
      </c>
      <c r="ID39" s="137"/>
      <c r="IE39" s="137"/>
      <c r="IF39" s="137"/>
      <c r="IG39" s="137"/>
      <c r="IH39" s="137"/>
      <c r="II39" s="137"/>
      <c r="IJ39" s="137"/>
      <c r="IK39" s="137"/>
      <c r="IL39" s="137"/>
      <c r="IM39" s="137"/>
      <c r="IN39" s="138"/>
      <c r="IO39" s="138">
        <f>SUM(HY39:IN39)</f>
        <v>360139.5</v>
      </c>
      <c r="IP39" s="38">
        <f>SUM(AB39,BJ39,CR39,DZ39,FH39,GP39,HX39)*(1+$E$10)^-7</f>
        <v>37692762.46813898</v>
      </c>
      <c r="IQ39" s="142">
        <f>SUM(AC39:AG39,BK39:BO39,CS39:CW39,EA39:EE39,FI39:FM39,GQ39:GU39,HY39:IC39)*(1+$E$10)^-7</f>
        <v>5653914.370220847</v>
      </c>
      <c r="IR39" s="142"/>
      <c r="IS39" s="196">
        <f>SUM(AS39,CA39,DI39,EQ39,FY39,HG39,IO39)*(1+$E$10)^-7</f>
        <v>5653914.3702208465</v>
      </c>
      <c r="IT39" s="159">
        <f aca="true" t="shared" si="43" ref="IT39:IT50">IP39-IS39</f>
        <v>32038848.09791813</v>
      </c>
    </row>
    <row r="40" spans="1:254" ht="15.75">
      <c r="A40" s="9">
        <v>2003</v>
      </c>
      <c r="B40" s="49">
        <v>2010</v>
      </c>
      <c r="C40" s="31">
        <v>326</v>
      </c>
      <c r="D40" s="31">
        <v>128</v>
      </c>
      <c r="E40" s="31">
        <v>1493</v>
      </c>
      <c r="F40" s="31">
        <v>498</v>
      </c>
      <c r="G40" s="31">
        <v>172</v>
      </c>
      <c r="H40" s="31">
        <v>57</v>
      </c>
      <c r="I40" s="31">
        <v>110</v>
      </c>
      <c r="J40" s="84">
        <f t="shared" si="27"/>
        <v>2330</v>
      </c>
      <c r="K40" s="86">
        <f t="shared" si="28"/>
        <v>2784</v>
      </c>
      <c r="L40" s="36">
        <f t="shared" si="0"/>
        <v>1373995</v>
      </c>
      <c r="M40" s="36">
        <f t="shared" si="13"/>
        <v>416990</v>
      </c>
      <c r="N40" s="36">
        <f t="shared" si="20"/>
        <v>457135</v>
      </c>
      <c r="O40" s="36">
        <f t="shared" si="29"/>
        <v>495985</v>
      </c>
      <c r="P40" s="36">
        <f t="shared" si="30"/>
        <v>402745</v>
      </c>
      <c r="Q40" s="36">
        <f aca="true" t="shared" si="44" ref="Q40:Q49">$C$40*$F$26*0.1295</f>
        <v>168868</v>
      </c>
      <c r="R40" s="36"/>
      <c r="S40" s="36"/>
      <c r="T40" s="36"/>
      <c r="U40" s="36"/>
      <c r="V40" s="36"/>
      <c r="W40" s="36"/>
      <c r="X40" s="36"/>
      <c r="Y40" s="36"/>
      <c r="Z40" s="36"/>
      <c r="AA40" s="47"/>
      <c r="AB40" s="78">
        <f t="shared" si="1"/>
        <v>3315718</v>
      </c>
      <c r="AC40" s="137">
        <f>$C$35*$O$21*$F$21*0.1295</f>
        <v>206099.25</v>
      </c>
      <c r="AD40" s="137">
        <f>$C$36*$N$21*$F$21*0.1295</f>
        <v>62548.5</v>
      </c>
      <c r="AE40" s="137">
        <f>$C$37*$M$21*$F$21*0.1295</f>
        <v>68570.25</v>
      </c>
      <c r="AF40" s="137">
        <f>$C$38*$L$21*$F$21*0.1295</f>
        <v>74397.75</v>
      </c>
      <c r="AG40" s="137">
        <f>$C$39*$K$21*$F$21*0.1295</f>
        <v>60411.75</v>
      </c>
      <c r="AH40" s="137">
        <f>$C$40*$J$26*$F$26*0.1295</f>
        <v>67547.2</v>
      </c>
      <c r="AI40" s="137"/>
      <c r="AJ40" s="137"/>
      <c r="AK40" s="137"/>
      <c r="AL40" s="137"/>
      <c r="AM40" s="137"/>
      <c r="AN40" s="137"/>
      <c r="AO40" s="137"/>
      <c r="AP40" s="137"/>
      <c r="AQ40" s="137"/>
      <c r="AR40" s="138"/>
      <c r="AS40" s="142">
        <f t="shared" si="2"/>
        <v>539574.7</v>
      </c>
      <c r="AT40" s="36">
        <f t="shared" si="3"/>
        <v>897435</v>
      </c>
      <c r="AU40" s="36">
        <f t="shared" si="14"/>
        <v>378787.5</v>
      </c>
      <c r="AV40" s="36">
        <f t="shared" si="21"/>
        <v>270007.5</v>
      </c>
      <c r="AW40" s="36">
        <f t="shared" si="31"/>
        <v>163170</v>
      </c>
      <c r="AX40" s="36">
        <f t="shared" si="32"/>
        <v>240870</v>
      </c>
      <c r="AY40" s="36">
        <f aca="true" t="shared" si="45" ref="AY40:AY49">$D$40*$F$27*0.1295</f>
        <v>74592</v>
      </c>
      <c r="AZ40" s="36"/>
      <c r="BA40" s="36"/>
      <c r="BB40" s="36"/>
      <c r="BC40" s="36"/>
      <c r="BD40" s="36"/>
      <c r="BE40" s="36"/>
      <c r="BF40" s="36"/>
      <c r="BG40" s="36"/>
      <c r="BH40" s="37"/>
      <c r="BI40" s="46"/>
      <c r="BJ40" s="47">
        <f t="shared" si="4"/>
        <v>2024862</v>
      </c>
      <c r="BK40" s="137">
        <f>$D$35*$O$22*$F$22*0.1295</f>
        <v>134615.25</v>
      </c>
      <c r="BL40" s="137">
        <f>$D$36*$N$22*$F$22*0.1295</f>
        <v>56818.125</v>
      </c>
      <c r="BM40" s="137">
        <f>$D$37*$M$22*$F$22*0.1295</f>
        <v>40501.12499999999</v>
      </c>
      <c r="BN40" s="137">
        <f>$D$38*$L$22*$F$22*0.1295</f>
        <v>24475.5</v>
      </c>
      <c r="BO40" s="137">
        <f>$D$39*$K$22*$F$22*0.1295</f>
        <v>36130.49999999999</v>
      </c>
      <c r="BP40" s="137">
        <f>$D$40*$J$27*$F$27*0.1295</f>
        <v>29836.8</v>
      </c>
      <c r="BQ40" s="137"/>
      <c r="BR40" s="137"/>
      <c r="BS40" s="137"/>
      <c r="BT40" s="137"/>
      <c r="BU40" s="137"/>
      <c r="BV40" s="137"/>
      <c r="BW40" s="137"/>
      <c r="BX40" s="137"/>
      <c r="BY40" s="137"/>
      <c r="BZ40" s="138"/>
      <c r="CA40" s="142">
        <f t="shared" si="5"/>
        <v>322377.3</v>
      </c>
      <c r="CB40" s="36">
        <f t="shared" si="6"/>
        <v>15656550</v>
      </c>
      <c r="CC40" s="36">
        <f t="shared" si="15"/>
        <v>5736850</v>
      </c>
      <c r="CD40" s="36">
        <f t="shared" si="22"/>
        <v>4669770</v>
      </c>
      <c r="CE40" s="36">
        <f t="shared" si="33"/>
        <v>2846410</v>
      </c>
      <c r="CF40" s="36">
        <f t="shared" si="34"/>
        <v>3675210</v>
      </c>
      <c r="CG40" s="36">
        <f aca="true" t="shared" si="46" ref="CG40:CG49">$E$40*$F$28*0.1295</f>
        <v>966717.5</v>
      </c>
      <c r="CH40" s="36"/>
      <c r="CI40" s="36"/>
      <c r="CJ40" s="36"/>
      <c r="CK40" s="36"/>
      <c r="CL40" s="36"/>
      <c r="CM40" s="36"/>
      <c r="CN40" s="36"/>
      <c r="CO40" s="36"/>
      <c r="CP40" s="36"/>
      <c r="CQ40" s="47"/>
      <c r="CR40" s="47">
        <f t="shared" si="7"/>
        <v>33551507.5</v>
      </c>
      <c r="CS40" s="137">
        <f>$E$35*$O$23*$F$23*0.1295</f>
        <v>2348482.5</v>
      </c>
      <c r="CT40" s="137">
        <f>$E$36*$N$23*$F$23*0.1295</f>
        <v>860527.5</v>
      </c>
      <c r="CU40" s="137">
        <f>$E$37*$M$23*$F$23*0.1295</f>
        <v>700465.5</v>
      </c>
      <c r="CV40" s="137">
        <f>$E$38*$L$23*$F$23*0.1295</f>
        <v>426961.5</v>
      </c>
      <c r="CW40" s="137">
        <f>$E$39*$K$23*$F$23*0.1295</f>
        <v>551281.5</v>
      </c>
      <c r="CX40" s="137">
        <f>$E$40*$J$28*$F$28*0.1295</f>
        <v>386687</v>
      </c>
      <c r="CY40" s="137"/>
      <c r="CZ40" s="137"/>
      <c r="DA40" s="137"/>
      <c r="DB40" s="137"/>
      <c r="DC40" s="137"/>
      <c r="DD40" s="137"/>
      <c r="DE40" s="137"/>
      <c r="DF40" s="137"/>
      <c r="DG40" s="137"/>
      <c r="DH40" s="138"/>
      <c r="DI40" s="142">
        <f t="shared" si="8"/>
        <v>5274405.5</v>
      </c>
      <c r="DJ40" s="36">
        <f t="shared" si="9"/>
        <v>5218850</v>
      </c>
      <c r="DK40" s="36">
        <f t="shared" si="16"/>
        <v>1911420</v>
      </c>
      <c r="DL40" s="36">
        <f t="shared" si="23"/>
        <v>1556590</v>
      </c>
      <c r="DM40" s="36">
        <f t="shared" si="35"/>
        <v>947940</v>
      </c>
      <c r="DN40" s="36">
        <f t="shared" si="36"/>
        <v>1225070</v>
      </c>
      <c r="DO40" s="36">
        <f aca="true" t="shared" si="47" ref="DO40:DO49">$F$40*$F$28*0.1295</f>
        <v>322455</v>
      </c>
      <c r="DP40" s="36"/>
      <c r="DQ40" s="36"/>
      <c r="DR40" s="36"/>
      <c r="DS40" s="36"/>
      <c r="DT40" s="36"/>
      <c r="DU40" s="36"/>
      <c r="DV40" s="36"/>
      <c r="DW40" s="36"/>
      <c r="DX40" s="36"/>
      <c r="DY40" s="47"/>
      <c r="DZ40" s="78">
        <f>SUM(DJ40:DY40)</f>
        <v>11182325</v>
      </c>
      <c r="EA40" s="137">
        <f>$F$35*$O$23*$F$23*0.1295</f>
        <v>782827.5</v>
      </c>
      <c r="EB40" s="137">
        <f>$F$36*$N$23*$F$23*0.1295</f>
        <v>286713</v>
      </c>
      <c r="EC40" s="137">
        <f>$F$37*$M$23*$F$23*0.1295</f>
        <v>233488.49999999997</v>
      </c>
      <c r="ED40" s="137">
        <f>$F$38*$L$23*$F$23*0.1295</f>
        <v>142191</v>
      </c>
      <c r="EE40" s="137">
        <f>$F$39*$K$23*$F$23*0.1295</f>
        <v>183760.5</v>
      </c>
      <c r="EF40" s="137">
        <f>$F$40*$J$28*$F$28*0.1295</f>
        <v>128982.00000000001</v>
      </c>
      <c r="EG40" s="137"/>
      <c r="EH40" s="137"/>
      <c r="EI40" s="137"/>
      <c r="EJ40" s="137"/>
      <c r="EK40" s="137"/>
      <c r="EL40" s="137"/>
      <c r="EM40" s="137"/>
      <c r="EN40" s="137"/>
      <c r="EO40" s="137"/>
      <c r="EP40" s="138"/>
      <c r="EQ40" s="142">
        <f>SUM(EA40:EP40)</f>
        <v>1757962.5</v>
      </c>
      <c r="ER40" s="36">
        <f t="shared" si="10"/>
        <v>790986</v>
      </c>
      <c r="ES40" s="36">
        <f t="shared" si="17"/>
        <v>124320</v>
      </c>
      <c r="ET40" s="36">
        <f t="shared" si="24"/>
        <v>192696</v>
      </c>
      <c r="EU40" s="36">
        <f t="shared" si="37"/>
        <v>220668</v>
      </c>
      <c r="EV40" s="36">
        <f t="shared" si="38"/>
        <v>242424</v>
      </c>
      <c r="EW40" s="36">
        <f aca="true" t="shared" si="48" ref="EW40:EW49">$G$40*$F$29*0.1295</f>
        <v>111370</v>
      </c>
      <c r="EX40" s="36"/>
      <c r="EY40" s="36"/>
      <c r="EZ40" s="36"/>
      <c r="FA40" s="36"/>
      <c r="FB40" s="36"/>
      <c r="FC40" s="36"/>
      <c r="FD40" s="36"/>
      <c r="FE40" s="36"/>
      <c r="FF40" s="36"/>
      <c r="FG40" s="47"/>
      <c r="FH40" s="78">
        <f>SUM(ER40:FG40)</f>
        <v>1682464</v>
      </c>
      <c r="FI40" s="137">
        <f>$G$35*$O$24*$F$24*0.1295</f>
        <v>118647.9</v>
      </c>
      <c r="FJ40" s="137">
        <f>$G$36*$N$24*$F$24*0.1295</f>
        <v>18648</v>
      </c>
      <c r="FK40" s="137">
        <f>$G$37*$M$24*$F$24*0.1295</f>
        <v>28904.399999999998</v>
      </c>
      <c r="FL40" s="137">
        <f>$G$38*$L$24*$F$24*0.1295</f>
        <v>33100.200000000004</v>
      </c>
      <c r="FM40" s="137">
        <f>$G$39*$K$24*$F$24*0.1295</f>
        <v>36363.6</v>
      </c>
      <c r="FN40" s="137">
        <f>$G$40*$J$29*$F$29*0.1295</f>
        <v>44548</v>
      </c>
      <c r="FO40" s="137"/>
      <c r="FP40" s="137"/>
      <c r="FQ40" s="137"/>
      <c r="FR40" s="137"/>
      <c r="FS40" s="137"/>
      <c r="FT40" s="137"/>
      <c r="FU40" s="137"/>
      <c r="FV40" s="137"/>
      <c r="FW40" s="137"/>
      <c r="FX40" s="138"/>
      <c r="FY40" s="142">
        <f>SUM(FI40:FX40)</f>
        <v>280212.1</v>
      </c>
      <c r="FZ40" s="36">
        <f t="shared" si="11"/>
        <v>264180</v>
      </c>
      <c r="GA40" s="36">
        <f t="shared" si="18"/>
        <v>41958</v>
      </c>
      <c r="GB40" s="36">
        <f t="shared" si="25"/>
        <v>63714</v>
      </c>
      <c r="GC40" s="36">
        <f t="shared" si="39"/>
        <v>73038</v>
      </c>
      <c r="GD40" s="36">
        <f t="shared" si="40"/>
        <v>80808</v>
      </c>
      <c r="GE40" s="36">
        <f aca="true" t="shared" si="49" ref="GE40:GE49">$H$40*$F$29*0.1295</f>
        <v>36907.5</v>
      </c>
      <c r="GF40" s="36"/>
      <c r="GG40" s="36"/>
      <c r="GH40" s="36"/>
      <c r="GI40" s="36"/>
      <c r="GJ40" s="36"/>
      <c r="GK40" s="36"/>
      <c r="GL40" s="36"/>
      <c r="GM40" s="36"/>
      <c r="GN40" s="36"/>
      <c r="GO40" s="47"/>
      <c r="GP40" s="47">
        <f>SUM(FZ40:GO40)</f>
        <v>560605.5</v>
      </c>
      <c r="GQ40" s="137">
        <f>$H$35*$O$24*$F$24*0.1295</f>
        <v>39627</v>
      </c>
      <c r="GR40" s="137">
        <f>$H$36*$N$24*$F$24*0.1295</f>
        <v>6293.7</v>
      </c>
      <c r="GS40" s="137">
        <f>$H$37*$M$24*$F$24*0.1295</f>
        <v>9557.1</v>
      </c>
      <c r="GT40" s="137">
        <f>$H$38*$L$24*$F$24*0.1295</f>
        <v>10955.7</v>
      </c>
      <c r="GU40" s="137">
        <f>$H$39*$K$24*$F$24*0.1295</f>
        <v>12121.2</v>
      </c>
      <c r="GV40" s="137">
        <f>$H$40*$J$29*$F$29*0.1295</f>
        <v>14763</v>
      </c>
      <c r="GW40" s="137"/>
      <c r="GX40" s="137"/>
      <c r="GY40" s="137"/>
      <c r="GZ40" s="137"/>
      <c r="HA40" s="137"/>
      <c r="HB40" s="137"/>
      <c r="HC40" s="137"/>
      <c r="HD40" s="137"/>
      <c r="HE40" s="137"/>
      <c r="HF40" s="138"/>
      <c r="HG40" s="142">
        <f>SUM(GQ40:HF40)</f>
        <v>93317.7</v>
      </c>
      <c r="HH40" s="81">
        <f t="shared" si="12"/>
        <v>1396010</v>
      </c>
      <c r="HI40" s="81">
        <f t="shared" si="19"/>
        <v>230510</v>
      </c>
      <c r="HJ40" s="81">
        <f t="shared" si="26"/>
        <v>243460</v>
      </c>
      <c r="HK40" s="81">
        <f t="shared" si="41"/>
        <v>259000</v>
      </c>
      <c r="HL40" s="36">
        <f t="shared" si="42"/>
        <v>271950</v>
      </c>
      <c r="HM40" s="36">
        <f aca="true" t="shared" si="50" ref="HM40:HM49">$I$40*$F$28*0.1295</f>
        <v>71225</v>
      </c>
      <c r="HN40" s="36"/>
      <c r="HO40" s="36"/>
      <c r="HP40" s="36"/>
      <c r="HQ40" s="36"/>
      <c r="HR40" s="36"/>
      <c r="HS40" s="36"/>
      <c r="HT40" s="36"/>
      <c r="HU40" s="36"/>
      <c r="HV40" s="36"/>
      <c r="HW40" s="36"/>
      <c r="HX40" s="47">
        <f>SUM(HH40:HW40)</f>
        <v>2472155</v>
      </c>
      <c r="HY40" s="139">
        <f>$I$35*$O$23*$F$23*0.1295</f>
        <v>209401.5</v>
      </c>
      <c r="HZ40" s="139">
        <f>$I$36*$N$23*$F$23*0.1295</f>
        <v>34576.5</v>
      </c>
      <c r="IA40" s="139">
        <f>$I$37*$M$23*$F$23*0.1295</f>
        <v>36519</v>
      </c>
      <c r="IB40" s="139">
        <f>$I$38*$L$23*$F$23*0.1295</f>
        <v>38850</v>
      </c>
      <c r="IC40" s="137">
        <f>$I$39*$K$23*$F$23*0.1295</f>
        <v>40792.5</v>
      </c>
      <c r="ID40" s="137">
        <f>$I$40*$J$28*$F$28*0.1295</f>
        <v>28490</v>
      </c>
      <c r="IE40" s="137"/>
      <c r="IF40" s="137"/>
      <c r="IG40" s="137"/>
      <c r="IH40" s="137"/>
      <c r="II40" s="137"/>
      <c r="IJ40" s="137"/>
      <c r="IK40" s="137"/>
      <c r="IL40" s="137"/>
      <c r="IM40" s="137"/>
      <c r="IN40" s="138"/>
      <c r="IO40" s="138">
        <f>SUM(HY40:IN40)</f>
        <v>388629.5</v>
      </c>
      <c r="IP40" s="38">
        <f>SUM(AB40,BJ40,CR40,DZ40,FH40,GP40,HX40)*(1+$E$10)^-8</f>
        <v>37083782.95286336</v>
      </c>
      <c r="IQ40" s="142">
        <f>SUM(AC40:AG40,BK40:BO40,CS40:CW40,EA40:EE40,FI40:FM40,GQ40:GU40,HY40:IC40)*(1+$E$10)^-8</f>
        <v>5384680.352591284</v>
      </c>
      <c r="IR40" s="142">
        <f>SUM(AH40,BP40,CX40,EF40,FN40,GV40,ID40)*(1+$E$10)^-8</f>
        <v>474365.57423525356</v>
      </c>
      <c r="IS40" s="196">
        <f>SUM(AS40,CA40,DI40,EQ40,FY40,HG40,IO40)*(1+$E$10)^-8</f>
        <v>5859045.926826538</v>
      </c>
      <c r="IT40" s="159">
        <f t="shared" si="43"/>
        <v>31224737.02603682</v>
      </c>
    </row>
    <row r="41" spans="1:254" ht="15.75">
      <c r="A41" s="9">
        <v>2004</v>
      </c>
      <c r="B41" s="49">
        <v>2011</v>
      </c>
      <c r="C41" s="31">
        <v>340</v>
      </c>
      <c r="D41" s="31">
        <v>132</v>
      </c>
      <c r="E41" s="31">
        <v>1571</v>
      </c>
      <c r="F41" s="31">
        <v>524</v>
      </c>
      <c r="G41" s="31">
        <v>189</v>
      </c>
      <c r="H41" s="31">
        <v>63</v>
      </c>
      <c r="I41" s="31">
        <v>116</v>
      </c>
      <c r="J41" s="84">
        <f t="shared" si="27"/>
        <v>2463</v>
      </c>
      <c r="K41" s="86">
        <f t="shared" si="28"/>
        <v>2935</v>
      </c>
      <c r="L41" s="36">
        <f t="shared" si="0"/>
        <v>1373995</v>
      </c>
      <c r="M41" s="36">
        <f t="shared" si="13"/>
        <v>416990</v>
      </c>
      <c r="N41" s="36">
        <f t="shared" si="20"/>
        <v>457135</v>
      </c>
      <c r="O41" s="36">
        <f t="shared" si="29"/>
        <v>495985</v>
      </c>
      <c r="P41" s="36">
        <f t="shared" si="30"/>
        <v>402745</v>
      </c>
      <c r="Q41" s="36">
        <f t="shared" si="44"/>
        <v>168868</v>
      </c>
      <c r="R41" s="36">
        <f aca="true" t="shared" si="51" ref="R41:R50">$C$41*$F$26*0.1295</f>
        <v>176120</v>
      </c>
      <c r="S41" s="36"/>
      <c r="T41" s="36"/>
      <c r="U41" s="36"/>
      <c r="V41" s="36"/>
      <c r="W41" s="36"/>
      <c r="X41" s="36"/>
      <c r="Y41" s="36"/>
      <c r="Z41" s="36"/>
      <c r="AA41" s="47"/>
      <c r="AB41" s="78">
        <f t="shared" si="1"/>
        <v>3491838</v>
      </c>
      <c r="AC41" s="137">
        <f>$C$35*$P$21*$F$21*0.1295</f>
        <v>206099.25</v>
      </c>
      <c r="AD41" s="137">
        <f>$C$36*$O$21*$F$21*0.1295</f>
        <v>62548.5</v>
      </c>
      <c r="AE41" s="137">
        <f>$C$37*$N$21*$F$21*0.1295</f>
        <v>68570.25</v>
      </c>
      <c r="AF41" s="137">
        <f>$C$38*$M$21*$F$21*0.1295</f>
        <v>74397.75</v>
      </c>
      <c r="AG41" s="137">
        <f>$C$39*$L$21*$F$21*0.1295</f>
        <v>60411.75</v>
      </c>
      <c r="AH41" s="137">
        <f>$C$40*$K$26*$F$26*0.1295</f>
        <v>67547.2</v>
      </c>
      <c r="AI41" s="137">
        <f>$C$41*$J$26*$F$26*0.1295</f>
        <v>70448</v>
      </c>
      <c r="AJ41" s="137"/>
      <c r="AK41" s="137"/>
      <c r="AL41" s="137"/>
      <c r="AM41" s="137"/>
      <c r="AN41" s="137"/>
      <c r="AO41" s="137"/>
      <c r="AP41" s="137"/>
      <c r="AQ41" s="137"/>
      <c r="AR41" s="138"/>
      <c r="AS41" s="142">
        <f t="shared" si="2"/>
        <v>610022.7</v>
      </c>
      <c r="AT41" s="36">
        <f t="shared" si="3"/>
        <v>897435</v>
      </c>
      <c r="AU41" s="36">
        <f t="shared" si="14"/>
        <v>378787.5</v>
      </c>
      <c r="AV41" s="36">
        <f t="shared" si="21"/>
        <v>270007.5</v>
      </c>
      <c r="AW41" s="36">
        <f t="shared" si="31"/>
        <v>163170</v>
      </c>
      <c r="AX41" s="36">
        <f t="shared" si="32"/>
        <v>240870</v>
      </c>
      <c r="AY41" s="36">
        <f t="shared" si="45"/>
        <v>74592</v>
      </c>
      <c r="AZ41" s="36">
        <f aca="true" t="shared" si="52" ref="AZ41:AZ50">$D$41*$F$27*0.1295</f>
        <v>76923</v>
      </c>
      <c r="BA41" s="36"/>
      <c r="BB41" s="36"/>
      <c r="BC41" s="36"/>
      <c r="BD41" s="36"/>
      <c r="BE41" s="36"/>
      <c r="BF41" s="36"/>
      <c r="BG41" s="36"/>
      <c r="BH41" s="36"/>
      <c r="BI41" s="47"/>
      <c r="BJ41" s="47">
        <f t="shared" si="4"/>
        <v>2101785</v>
      </c>
      <c r="BK41" s="137">
        <f>$D$35*$P$22*$F$22*0.1295</f>
        <v>134615.25</v>
      </c>
      <c r="BL41" s="137">
        <f>$D$36*$O$22*$F$22*0.1295</f>
        <v>56818.125</v>
      </c>
      <c r="BM41" s="137">
        <f>$D$37*$N$22*$F$22*0.1295</f>
        <v>40501.12499999999</v>
      </c>
      <c r="BN41" s="137">
        <f>$D$38*$M$22*$F$22*0.1295</f>
        <v>24475.5</v>
      </c>
      <c r="BO41" s="137">
        <f>$D$39*$L$22*$F$22*0.1295</f>
        <v>36130.49999999999</v>
      </c>
      <c r="BP41" s="137">
        <f>$D$40*$K$27*$F$27*0.1295</f>
        <v>29836.8</v>
      </c>
      <c r="BQ41" s="137">
        <f>$D$41*$J$27*$F$27*0.1295</f>
        <v>30769.200000000004</v>
      </c>
      <c r="BR41" s="137"/>
      <c r="BS41" s="137"/>
      <c r="BT41" s="137"/>
      <c r="BU41" s="137"/>
      <c r="BV41" s="137"/>
      <c r="BW41" s="137"/>
      <c r="BX41" s="137"/>
      <c r="BY41" s="137"/>
      <c r="BZ41" s="138"/>
      <c r="CA41" s="142">
        <f t="shared" si="5"/>
        <v>353146.5</v>
      </c>
      <c r="CB41" s="36">
        <f t="shared" si="6"/>
        <v>15656550</v>
      </c>
      <c r="CC41" s="36">
        <f t="shared" si="15"/>
        <v>5736850</v>
      </c>
      <c r="CD41" s="36">
        <f t="shared" si="22"/>
        <v>4669770</v>
      </c>
      <c r="CE41" s="36">
        <f t="shared" si="33"/>
        <v>2846410</v>
      </c>
      <c r="CF41" s="36">
        <f t="shared" si="34"/>
        <v>3675210</v>
      </c>
      <c r="CG41" s="36">
        <f t="shared" si="46"/>
        <v>966717.5</v>
      </c>
      <c r="CH41" s="36">
        <f aca="true" t="shared" si="53" ref="CH41:CH50">$E$41*$F$28*0.1295</f>
        <v>1017222.5</v>
      </c>
      <c r="CI41" s="36"/>
      <c r="CJ41" s="36"/>
      <c r="CK41" s="36"/>
      <c r="CL41" s="36"/>
      <c r="CM41" s="36"/>
      <c r="CN41" s="36"/>
      <c r="CO41" s="36"/>
      <c r="CP41" s="36"/>
      <c r="CQ41" s="47"/>
      <c r="CR41" s="47">
        <f t="shared" si="7"/>
        <v>34568730</v>
      </c>
      <c r="CS41" s="137">
        <f>$E$35*$P$23*$F$23*0.1295</f>
        <v>2348482.5</v>
      </c>
      <c r="CT41" s="137">
        <f>$E$36*$O$23*$F$23*0.1295</f>
        <v>860527.5</v>
      </c>
      <c r="CU41" s="137">
        <f>$E$37*$N$23*$F$23*0.1295</f>
        <v>700465.5</v>
      </c>
      <c r="CV41" s="137">
        <f>$E$38*$M$23*$F$23*0.1295</f>
        <v>426961.5</v>
      </c>
      <c r="CW41" s="137">
        <f>$E$39*$L$23*$F$23*0.1295</f>
        <v>551281.5</v>
      </c>
      <c r="CX41" s="137">
        <f>$E$40*$K$28*$F$28*0.1295</f>
        <v>386687</v>
      </c>
      <c r="CY41" s="137">
        <f>$E$41*$J$28*$F$28*0.1295</f>
        <v>406889.00000000006</v>
      </c>
      <c r="CZ41" s="137"/>
      <c r="DA41" s="137"/>
      <c r="DB41" s="137"/>
      <c r="DC41" s="137"/>
      <c r="DD41" s="137"/>
      <c r="DE41" s="137"/>
      <c r="DF41" s="137"/>
      <c r="DG41" s="137"/>
      <c r="DH41" s="138"/>
      <c r="DI41" s="142">
        <f t="shared" si="8"/>
        <v>5681294.5</v>
      </c>
      <c r="DJ41" s="36">
        <f t="shared" si="9"/>
        <v>5218850</v>
      </c>
      <c r="DK41" s="36">
        <f t="shared" si="16"/>
        <v>1911420</v>
      </c>
      <c r="DL41" s="36">
        <f t="shared" si="23"/>
        <v>1556590</v>
      </c>
      <c r="DM41" s="36">
        <f t="shared" si="35"/>
        <v>947940</v>
      </c>
      <c r="DN41" s="36">
        <f t="shared" si="36"/>
        <v>1225070</v>
      </c>
      <c r="DO41" s="36">
        <f t="shared" si="47"/>
        <v>322455</v>
      </c>
      <c r="DP41" s="36">
        <f aca="true" t="shared" si="54" ref="DP41:DP50">$F$41*$F$28*0.1295</f>
        <v>339290</v>
      </c>
      <c r="DQ41" s="36"/>
      <c r="DR41" s="36"/>
      <c r="DS41" s="36"/>
      <c r="DT41" s="36"/>
      <c r="DU41" s="36"/>
      <c r="DV41" s="36"/>
      <c r="DW41" s="36"/>
      <c r="DX41" s="36"/>
      <c r="DY41" s="47"/>
      <c r="DZ41" s="78">
        <f>SUM(DJ41:DY41)</f>
        <v>11521615</v>
      </c>
      <c r="EA41" s="137">
        <f>$F$35*$P$23*$F$23*0.1295</f>
        <v>782827.5</v>
      </c>
      <c r="EB41" s="137">
        <f>$F$36*$O$23*$F$23*0.1295</f>
        <v>286713</v>
      </c>
      <c r="EC41" s="137">
        <f>$F$37*$N$23*$F$23*0.1295</f>
        <v>233488.49999999997</v>
      </c>
      <c r="ED41" s="137">
        <f>$F$38*$M$23*$F$23*0.1295</f>
        <v>142191</v>
      </c>
      <c r="EE41" s="137">
        <f>$F$39*$L$23*$F$23*0.1295</f>
        <v>183760.5</v>
      </c>
      <c r="EF41" s="137">
        <f>$F$40*$K$28*$F$28*0.1295</f>
        <v>128982.00000000001</v>
      </c>
      <c r="EG41" s="137">
        <f>$F$41*$J$28*$F$28*0.1295</f>
        <v>135716.00000000003</v>
      </c>
      <c r="EH41" s="137"/>
      <c r="EI41" s="137"/>
      <c r="EJ41" s="137"/>
      <c r="EK41" s="137"/>
      <c r="EL41" s="137"/>
      <c r="EM41" s="137"/>
      <c r="EN41" s="137"/>
      <c r="EO41" s="137"/>
      <c r="EP41" s="138"/>
      <c r="EQ41" s="142">
        <f>SUM(EA41:EP41)</f>
        <v>1893678.5</v>
      </c>
      <c r="ER41" s="36">
        <f t="shared" si="10"/>
        <v>790986</v>
      </c>
      <c r="ES41" s="36">
        <f t="shared" si="17"/>
        <v>124320</v>
      </c>
      <c r="ET41" s="36">
        <f t="shared" si="24"/>
        <v>192696</v>
      </c>
      <c r="EU41" s="36">
        <f t="shared" si="37"/>
        <v>220668</v>
      </c>
      <c r="EV41" s="36">
        <f t="shared" si="38"/>
        <v>242424</v>
      </c>
      <c r="EW41" s="36">
        <f t="shared" si="48"/>
        <v>111370</v>
      </c>
      <c r="EX41" s="36">
        <f aca="true" t="shared" si="55" ref="EX41:EX50">$G$41*$F$29*0.1295</f>
        <v>122377.5</v>
      </c>
      <c r="EY41" s="36"/>
      <c r="EZ41" s="36"/>
      <c r="FA41" s="36"/>
      <c r="FB41" s="36"/>
      <c r="FC41" s="36"/>
      <c r="FD41" s="36"/>
      <c r="FE41" s="36"/>
      <c r="FF41" s="36"/>
      <c r="FG41" s="47"/>
      <c r="FH41" s="78">
        <f>SUM(ER41:FG41)</f>
        <v>1804841.5</v>
      </c>
      <c r="FI41" s="137">
        <f>$G$35*$P$24*$F$24*0.1295</f>
        <v>118647.9</v>
      </c>
      <c r="FJ41" s="137">
        <f>$G$36*$O$24*$F$24*0.1295</f>
        <v>18648</v>
      </c>
      <c r="FK41" s="137">
        <f>$G$37*$N$24*$F$24*0.1295</f>
        <v>28904.399999999998</v>
      </c>
      <c r="FL41" s="137">
        <f>$G$38*$M$24*$F$24*0.1295</f>
        <v>33100.200000000004</v>
      </c>
      <c r="FM41" s="137">
        <f>$G$39*$L$24*$F$24*0.1295</f>
        <v>36363.6</v>
      </c>
      <c r="FN41" s="137">
        <f>$G$40*$K$29*$F$29*0.1295</f>
        <v>44548</v>
      </c>
      <c r="FO41" s="137">
        <f>$G$41*$J$29*$F$29*0.1295</f>
        <v>48951.00000000001</v>
      </c>
      <c r="FP41" s="137"/>
      <c r="FQ41" s="137"/>
      <c r="FR41" s="137"/>
      <c r="FS41" s="137"/>
      <c r="FT41" s="137"/>
      <c r="FU41" s="137"/>
      <c r="FV41" s="137"/>
      <c r="FW41" s="137"/>
      <c r="FX41" s="138"/>
      <c r="FY41" s="142">
        <f>SUM(FI41:FX41)</f>
        <v>329163.1</v>
      </c>
      <c r="FZ41" s="36">
        <f t="shared" si="11"/>
        <v>264180</v>
      </c>
      <c r="GA41" s="36">
        <f t="shared" si="18"/>
        <v>41958</v>
      </c>
      <c r="GB41" s="36">
        <f t="shared" si="25"/>
        <v>63714</v>
      </c>
      <c r="GC41" s="36">
        <f t="shared" si="39"/>
        <v>73038</v>
      </c>
      <c r="GD41" s="36">
        <f t="shared" si="40"/>
        <v>80808</v>
      </c>
      <c r="GE41" s="36">
        <f t="shared" si="49"/>
        <v>36907.5</v>
      </c>
      <c r="GF41" s="36">
        <f aca="true" t="shared" si="56" ref="GF41:GF50">$H$41*$F$29*0.1295</f>
        <v>40792.5</v>
      </c>
      <c r="GG41" s="36"/>
      <c r="GH41" s="36"/>
      <c r="GI41" s="36"/>
      <c r="GJ41" s="36"/>
      <c r="GK41" s="36"/>
      <c r="GL41" s="36"/>
      <c r="GM41" s="36"/>
      <c r="GN41" s="36"/>
      <c r="GO41" s="47"/>
      <c r="GP41" s="47">
        <f>SUM(FZ41:GO41)</f>
        <v>601398</v>
      </c>
      <c r="GQ41" s="137">
        <f>$H$35*$P$24*$F$24*0.1295</f>
        <v>39627</v>
      </c>
      <c r="GR41" s="137">
        <f>$H$36*$O$24*$F$24*0.1295</f>
        <v>6293.7</v>
      </c>
      <c r="GS41" s="137">
        <f>$H$37*$N$24*$F$24*0.1295</f>
        <v>9557.1</v>
      </c>
      <c r="GT41" s="137">
        <f>$H$38*$M$24*$F$24*0.1295</f>
        <v>10955.7</v>
      </c>
      <c r="GU41" s="137">
        <f>$H$39*$L$24*$F$24*0.1295</f>
        <v>12121.2</v>
      </c>
      <c r="GV41" s="137">
        <f>$H$40*$K$29*$F$29*0.1295</f>
        <v>14763</v>
      </c>
      <c r="GW41" s="137">
        <f>$H$41*$J$29*$F$29*0.1295</f>
        <v>16317.000000000002</v>
      </c>
      <c r="GX41" s="137"/>
      <c r="GY41" s="137"/>
      <c r="GZ41" s="137"/>
      <c r="HA41" s="137"/>
      <c r="HB41" s="137"/>
      <c r="HC41" s="137"/>
      <c r="HD41" s="137"/>
      <c r="HE41" s="137"/>
      <c r="HF41" s="138"/>
      <c r="HG41" s="142">
        <f>SUM(GQ41:HF41)</f>
        <v>109634.7</v>
      </c>
      <c r="HH41" s="81">
        <f t="shared" si="12"/>
        <v>1396010</v>
      </c>
      <c r="HI41" s="81">
        <f t="shared" si="19"/>
        <v>230510</v>
      </c>
      <c r="HJ41" s="81">
        <f t="shared" si="26"/>
        <v>243460</v>
      </c>
      <c r="HK41" s="81">
        <f t="shared" si="41"/>
        <v>259000</v>
      </c>
      <c r="HL41" s="36">
        <f t="shared" si="42"/>
        <v>271950</v>
      </c>
      <c r="HM41" s="36">
        <f t="shared" si="50"/>
        <v>71225</v>
      </c>
      <c r="HN41" s="36">
        <f aca="true" t="shared" si="57" ref="HN41:HN50">$I$41*$F$28*0.1295</f>
        <v>75110</v>
      </c>
      <c r="HO41" s="36"/>
      <c r="HP41" s="36"/>
      <c r="HQ41" s="36"/>
      <c r="HR41" s="36"/>
      <c r="HS41" s="36"/>
      <c r="HT41" s="36"/>
      <c r="HU41" s="36"/>
      <c r="HV41" s="36"/>
      <c r="HW41" s="36"/>
      <c r="HX41" s="47">
        <f>SUM(HH41:HW41)</f>
        <v>2547265</v>
      </c>
      <c r="HY41" s="139">
        <f>$I$35*$P$23*$F$23*0.1295</f>
        <v>209401.5</v>
      </c>
      <c r="HZ41" s="139">
        <f>$I$36*$O$23*$F$23*0.1295</f>
        <v>34576.5</v>
      </c>
      <c r="IA41" s="139">
        <f>$I$37*$N$23*$F$23*0.1295</f>
        <v>36519</v>
      </c>
      <c r="IB41" s="139">
        <f>$I$38*$M$23*$F$23*0.1295</f>
        <v>38850</v>
      </c>
      <c r="IC41" s="137">
        <f>$I$39*$L$23*$F$23*0.1295</f>
        <v>40792.5</v>
      </c>
      <c r="ID41" s="137">
        <f>$I$40*$K$28*$F$28*0.1295</f>
        <v>28490</v>
      </c>
      <c r="IE41" s="137">
        <f>$I$41*$J$28*$F$28*0.1295</f>
        <v>30044.000000000004</v>
      </c>
      <c r="IF41" s="137"/>
      <c r="IG41" s="137"/>
      <c r="IH41" s="137"/>
      <c r="II41" s="137"/>
      <c r="IJ41" s="137"/>
      <c r="IK41" s="137"/>
      <c r="IL41" s="137"/>
      <c r="IM41" s="137"/>
      <c r="IN41" s="138"/>
      <c r="IO41" s="138">
        <f>SUM(HY41:IN41)</f>
        <v>418673.5</v>
      </c>
      <c r="IP41" s="38">
        <f>SUM(AB41,BJ41,CR41,DZ41,FH41,GP41,HX41)*(1+$E$10)^-9</f>
        <v>36509019.765540294</v>
      </c>
      <c r="IQ41" s="142">
        <f>SUM(AC41:AG41,BK41:BO41,CS41:CW41,EA41:EE41,FI41:FM41,GQ41:GU41,HY41:IC41)*(1+$E$10)^-9</f>
        <v>5128267.002467888</v>
      </c>
      <c r="IR41" s="142">
        <f>SUM(AH41,AI41,BP41,BQ41,CX41,CY41,EF41,EG41,FN41,FO41,GV41,GW41,ID41,IE41)*(1+$E$10)^-9</f>
        <v>928229.2329684166</v>
      </c>
      <c r="IS41" s="196">
        <f>SUM(AS41,CA41,DI41,EQ41,FY41,HG41,IO41)*(1+$E$10)^-9</f>
        <v>6056496.235436304</v>
      </c>
      <c r="IT41" s="159">
        <f t="shared" si="43"/>
        <v>30452523.53010399</v>
      </c>
    </row>
    <row r="42" spans="1:254" ht="15.75">
      <c r="A42" s="9">
        <v>2005</v>
      </c>
      <c r="B42" s="49">
        <v>2012</v>
      </c>
      <c r="C42" s="31">
        <v>356</v>
      </c>
      <c r="D42" s="31">
        <v>136</v>
      </c>
      <c r="E42" s="31">
        <v>1652</v>
      </c>
      <c r="F42" s="31">
        <v>551</v>
      </c>
      <c r="G42" s="31">
        <v>209</v>
      </c>
      <c r="H42" s="31">
        <v>70</v>
      </c>
      <c r="I42" s="31">
        <v>122</v>
      </c>
      <c r="J42" s="84">
        <f t="shared" si="27"/>
        <v>2604</v>
      </c>
      <c r="K42" s="86">
        <f t="shared" si="28"/>
        <v>3096</v>
      </c>
      <c r="L42" s="36">
        <f t="shared" si="0"/>
        <v>1373995</v>
      </c>
      <c r="M42" s="36">
        <f t="shared" si="13"/>
        <v>416990</v>
      </c>
      <c r="N42" s="36">
        <f t="shared" si="20"/>
        <v>457135</v>
      </c>
      <c r="O42" s="36">
        <f t="shared" si="29"/>
        <v>495985</v>
      </c>
      <c r="P42" s="36">
        <f t="shared" si="30"/>
        <v>402745</v>
      </c>
      <c r="Q42" s="36">
        <f t="shared" si="44"/>
        <v>168868</v>
      </c>
      <c r="R42" s="36">
        <f t="shared" si="51"/>
        <v>176120</v>
      </c>
      <c r="S42" s="36">
        <f aca="true" t="shared" si="58" ref="S42:S51">$C$42*$F$26*0.1295</f>
        <v>184408</v>
      </c>
      <c r="T42" s="36"/>
      <c r="U42" s="36"/>
      <c r="V42" s="36"/>
      <c r="W42" s="36"/>
      <c r="X42" s="36"/>
      <c r="Y42" s="36"/>
      <c r="Z42" s="36"/>
      <c r="AA42" s="47"/>
      <c r="AB42" s="78">
        <f t="shared" si="1"/>
        <v>3676246</v>
      </c>
      <c r="AC42" s="137">
        <f>$C$35*$Q$21*$F$21*0.1295</f>
        <v>206099.25</v>
      </c>
      <c r="AD42" s="137">
        <f>$C$36*$P$21*$F$21*0.1295</f>
        <v>62548.5</v>
      </c>
      <c r="AE42" s="137">
        <f>$C$37*$O$21*$F$21*0.1295</f>
        <v>68570.25</v>
      </c>
      <c r="AF42" s="137">
        <f>$C$38*$N$21*$F$21*0.1295</f>
        <v>74397.75</v>
      </c>
      <c r="AG42" s="137">
        <f>$C$39*$M$21*$F$21*0.1295</f>
        <v>60411.75</v>
      </c>
      <c r="AH42" s="137">
        <f>$C$40*$L$26*$F$26*0.1295</f>
        <v>67547.2</v>
      </c>
      <c r="AI42" s="137">
        <f>$C$41*$K$26*$F$26*0.1295</f>
        <v>70448</v>
      </c>
      <c r="AJ42" s="137">
        <f>$C$42*$J$26*$F$26*0.1295</f>
        <v>73763.2</v>
      </c>
      <c r="AK42" s="137"/>
      <c r="AL42" s="137"/>
      <c r="AM42" s="137"/>
      <c r="AN42" s="137"/>
      <c r="AO42" s="137"/>
      <c r="AP42" s="137"/>
      <c r="AQ42" s="137"/>
      <c r="AR42" s="138"/>
      <c r="AS42" s="142">
        <f t="shared" si="2"/>
        <v>683785.8999999999</v>
      </c>
      <c r="AT42" s="36">
        <f t="shared" si="3"/>
        <v>897435</v>
      </c>
      <c r="AU42" s="36">
        <f t="shared" si="14"/>
        <v>378787.5</v>
      </c>
      <c r="AV42" s="36">
        <f t="shared" si="21"/>
        <v>270007.5</v>
      </c>
      <c r="AW42" s="36">
        <f t="shared" si="31"/>
        <v>163170</v>
      </c>
      <c r="AX42" s="36">
        <f t="shared" si="32"/>
        <v>240870</v>
      </c>
      <c r="AY42" s="36">
        <f t="shared" si="45"/>
        <v>74592</v>
      </c>
      <c r="AZ42" s="36">
        <f t="shared" si="52"/>
        <v>76923</v>
      </c>
      <c r="BA42" s="36">
        <f aca="true" t="shared" si="59" ref="BA42:BA51">$D$42*$F$27*0.1295</f>
        <v>79254</v>
      </c>
      <c r="BB42" s="36"/>
      <c r="BC42" s="36"/>
      <c r="BD42" s="36"/>
      <c r="BE42" s="36"/>
      <c r="BF42" s="36"/>
      <c r="BG42" s="36"/>
      <c r="BH42" s="36"/>
      <c r="BI42" s="47"/>
      <c r="BJ42" s="47">
        <f t="shared" si="4"/>
        <v>2181039</v>
      </c>
      <c r="BK42" s="137">
        <f>$D$35*$Q$22*$F$22*0.1295</f>
        <v>134615.25</v>
      </c>
      <c r="BL42" s="137">
        <f>$D$36*$P$22*$F$22*0.1295</f>
        <v>56818.125</v>
      </c>
      <c r="BM42" s="137">
        <f>$D$37*$O$22*$F$22*0.1295</f>
        <v>40501.12499999999</v>
      </c>
      <c r="BN42" s="137">
        <f>$D$38*$N$22*$F$22*0.1295</f>
        <v>24475.5</v>
      </c>
      <c r="BO42" s="137">
        <f>$D$39*$M$22*$F$22*0.1295</f>
        <v>36130.49999999999</v>
      </c>
      <c r="BP42" s="137">
        <f>$D$40*$L$27*$F$27*0.1295</f>
        <v>29836.8</v>
      </c>
      <c r="BQ42" s="137">
        <f>$D$41*$K$27*$F$27*0.1295</f>
        <v>30769.200000000004</v>
      </c>
      <c r="BR42" s="137">
        <f>$D$42*$J$27*$F$27*0.1295</f>
        <v>31701.600000000006</v>
      </c>
      <c r="BS42" s="137"/>
      <c r="BT42" s="137"/>
      <c r="BU42" s="137"/>
      <c r="BV42" s="137"/>
      <c r="BW42" s="137"/>
      <c r="BX42" s="137"/>
      <c r="BY42" s="137"/>
      <c r="BZ42" s="138"/>
      <c r="CA42" s="142">
        <f t="shared" si="5"/>
        <v>384848.1</v>
      </c>
      <c r="CB42" s="36">
        <f t="shared" si="6"/>
        <v>15656550</v>
      </c>
      <c r="CC42" s="36">
        <f t="shared" si="15"/>
        <v>5736850</v>
      </c>
      <c r="CD42" s="36">
        <f t="shared" si="22"/>
        <v>4669770</v>
      </c>
      <c r="CE42" s="36">
        <f t="shared" si="33"/>
        <v>2846410</v>
      </c>
      <c r="CF42" s="36">
        <f t="shared" si="34"/>
        <v>3675210</v>
      </c>
      <c r="CG42" s="36">
        <f t="shared" si="46"/>
        <v>966717.5</v>
      </c>
      <c r="CH42" s="36">
        <f t="shared" si="53"/>
        <v>1017222.5</v>
      </c>
      <c r="CI42" s="36">
        <f aca="true" t="shared" si="60" ref="CI42:CI51">$E$42*$F$28*0.1295</f>
        <v>1069670</v>
      </c>
      <c r="CJ42" s="36"/>
      <c r="CK42" s="36"/>
      <c r="CL42" s="36"/>
      <c r="CM42" s="36"/>
      <c r="CN42" s="36"/>
      <c r="CO42" s="36"/>
      <c r="CP42" s="36"/>
      <c r="CQ42" s="47"/>
      <c r="CR42" s="47">
        <f t="shared" si="7"/>
        <v>35638400</v>
      </c>
      <c r="CS42" s="137">
        <f>$E$35*$Q$23*$F$23*0.1295</f>
        <v>2348482.5</v>
      </c>
      <c r="CT42" s="137">
        <f>$E$36*$P$23*$F$23*0.1295</f>
        <v>860527.5</v>
      </c>
      <c r="CU42" s="137">
        <f>$E$37*$O$23*$F$23*0.1295</f>
        <v>700465.5</v>
      </c>
      <c r="CV42" s="137">
        <f>$E$38*$N$23*$F$23*0.1295</f>
        <v>426961.5</v>
      </c>
      <c r="CW42" s="137">
        <f>$E$39*$M$23*$F$23*0.1295</f>
        <v>551281.5</v>
      </c>
      <c r="CX42" s="137">
        <f>$E$40*$L$28*$F$28*0.1295</f>
        <v>386687</v>
      </c>
      <c r="CY42" s="137">
        <f>$E$41*$K$28*$F$28*0.1295</f>
        <v>406889.00000000006</v>
      </c>
      <c r="CZ42" s="137">
        <f>$E$42*$J$28*$F$28*0.1295</f>
        <v>427868.00000000006</v>
      </c>
      <c r="DA42" s="137"/>
      <c r="DB42" s="137"/>
      <c r="DC42" s="137"/>
      <c r="DD42" s="137"/>
      <c r="DE42" s="137"/>
      <c r="DF42" s="137"/>
      <c r="DG42" s="137"/>
      <c r="DH42" s="138"/>
      <c r="DI42" s="142">
        <f t="shared" si="8"/>
        <v>6109162.5</v>
      </c>
      <c r="DJ42" s="36">
        <f t="shared" si="9"/>
        <v>5218850</v>
      </c>
      <c r="DK42" s="36">
        <f t="shared" si="16"/>
        <v>1911420</v>
      </c>
      <c r="DL42" s="36">
        <f t="shared" si="23"/>
        <v>1556590</v>
      </c>
      <c r="DM42" s="36">
        <f t="shared" si="35"/>
        <v>947940</v>
      </c>
      <c r="DN42" s="36">
        <f t="shared" si="36"/>
        <v>1225070</v>
      </c>
      <c r="DO42" s="36">
        <f t="shared" si="47"/>
        <v>322455</v>
      </c>
      <c r="DP42" s="36">
        <f t="shared" si="54"/>
        <v>339290</v>
      </c>
      <c r="DQ42" s="36">
        <f aca="true" t="shared" si="61" ref="DQ42:DQ51">$F$42*$F$28*0.1295</f>
        <v>356772.5</v>
      </c>
      <c r="DR42" s="36"/>
      <c r="DS42" s="36"/>
      <c r="DT42" s="36"/>
      <c r="DU42" s="36"/>
      <c r="DV42" s="36"/>
      <c r="DW42" s="36"/>
      <c r="DX42" s="36"/>
      <c r="DY42" s="47"/>
      <c r="DZ42" s="78">
        <f>SUM(DJ42:DY42)</f>
        <v>11878387.5</v>
      </c>
      <c r="EA42" s="137">
        <f>$F$35*$Q$23*$F$23*0.1295</f>
        <v>782827.5</v>
      </c>
      <c r="EB42" s="137">
        <f>$F$36*$P$23*$F$23*0.1295</f>
        <v>286713</v>
      </c>
      <c r="EC42" s="137">
        <f>$F$37*$O$23*$F$23*0.1295</f>
        <v>233488.49999999997</v>
      </c>
      <c r="ED42" s="137">
        <f>$F$38*$N$23*$F$23*0.1295</f>
        <v>142191</v>
      </c>
      <c r="EE42" s="137">
        <f>$F$39*$M$23*$F$23*0.1295</f>
        <v>183760.5</v>
      </c>
      <c r="EF42" s="137">
        <f>$F$40*$L$28*$F$28*0.1295</f>
        <v>128982.00000000001</v>
      </c>
      <c r="EG42" s="137">
        <f>$F$41*$K$28*$F$28*0.1295</f>
        <v>135716.00000000003</v>
      </c>
      <c r="EH42" s="137">
        <f>$F$42*$J$28*$F$28*0.1295</f>
        <v>142709</v>
      </c>
      <c r="EI42" s="137"/>
      <c r="EJ42" s="137"/>
      <c r="EK42" s="137"/>
      <c r="EL42" s="137"/>
      <c r="EM42" s="137"/>
      <c r="EN42" s="137"/>
      <c r="EO42" s="137"/>
      <c r="EP42" s="138"/>
      <c r="EQ42" s="142">
        <f>SUM(EA42:EP42)</f>
        <v>2036387.5</v>
      </c>
      <c r="ER42" s="36">
        <f t="shared" si="10"/>
        <v>790986</v>
      </c>
      <c r="ES42" s="36">
        <f t="shared" si="17"/>
        <v>124320</v>
      </c>
      <c r="ET42" s="36">
        <f t="shared" si="24"/>
        <v>192696</v>
      </c>
      <c r="EU42" s="36">
        <f t="shared" si="37"/>
        <v>220668</v>
      </c>
      <c r="EV42" s="36">
        <f t="shared" si="38"/>
        <v>242424</v>
      </c>
      <c r="EW42" s="36">
        <f t="shared" si="48"/>
        <v>111370</v>
      </c>
      <c r="EX42" s="36">
        <f t="shared" si="55"/>
        <v>122377.5</v>
      </c>
      <c r="EY42" s="36">
        <f aca="true" t="shared" si="62" ref="EY42:EY51">$G$42*$F$29*0.1295</f>
        <v>135327.5</v>
      </c>
      <c r="EZ42" s="36"/>
      <c r="FA42" s="36"/>
      <c r="FB42" s="36"/>
      <c r="FC42" s="36"/>
      <c r="FD42" s="36"/>
      <c r="FE42" s="36"/>
      <c r="FF42" s="36"/>
      <c r="FG42" s="47"/>
      <c r="FH42" s="78">
        <f>SUM(ER42:FG42)</f>
        <v>1940169</v>
      </c>
      <c r="FI42" s="137">
        <f>$G$35*$Q$24*$F$24*0.1295</f>
        <v>118647.9</v>
      </c>
      <c r="FJ42" s="137">
        <f>$G$36*$P$24*$F$24*0.1295</f>
        <v>18648</v>
      </c>
      <c r="FK42" s="137">
        <f>$G$37*$O$24*$F$24*0.1295</f>
        <v>28904.399999999998</v>
      </c>
      <c r="FL42" s="137">
        <f>$G$38*$N$24*$F$24*0.1295</f>
        <v>33100.200000000004</v>
      </c>
      <c r="FM42" s="137">
        <f>$G$39*$M$24*$F$24*0.1295</f>
        <v>36363.6</v>
      </c>
      <c r="FN42" s="137">
        <f>$G$40*$L$29*$F$29*0.1295</f>
        <v>44548</v>
      </c>
      <c r="FO42" s="137">
        <f>$G$41*$K$29*$F$29*0.1295</f>
        <v>48951.00000000001</v>
      </c>
      <c r="FP42" s="137">
        <f>$G$42*$J$29*$F$29*0.1295</f>
        <v>54131.00000000001</v>
      </c>
      <c r="FQ42" s="137"/>
      <c r="FR42" s="137"/>
      <c r="FS42" s="137"/>
      <c r="FT42" s="137"/>
      <c r="FU42" s="137"/>
      <c r="FV42" s="137"/>
      <c r="FW42" s="137"/>
      <c r="FX42" s="138"/>
      <c r="FY42" s="142">
        <f>SUM(FI42:FX42)</f>
        <v>383294.1</v>
      </c>
      <c r="FZ42" s="36">
        <f t="shared" si="11"/>
        <v>264180</v>
      </c>
      <c r="GA42" s="36">
        <f t="shared" si="18"/>
        <v>41958</v>
      </c>
      <c r="GB42" s="36">
        <f t="shared" si="25"/>
        <v>63714</v>
      </c>
      <c r="GC42" s="36">
        <f t="shared" si="39"/>
        <v>73038</v>
      </c>
      <c r="GD42" s="36">
        <f t="shared" si="40"/>
        <v>80808</v>
      </c>
      <c r="GE42" s="36">
        <f t="shared" si="49"/>
        <v>36907.5</v>
      </c>
      <c r="GF42" s="36">
        <f t="shared" si="56"/>
        <v>40792.5</v>
      </c>
      <c r="GG42" s="36">
        <f aca="true" t="shared" si="63" ref="GG42:GG51">$H$42*$F$29*0.1295</f>
        <v>45325</v>
      </c>
      <c r="GH42" s="36"/>
      <c r="GI42" s="36"/>
      <c r="GJ42" s="36"/>
      <c r="GK42" s="36"/>
      <c r="GL42" s="36"/>
      <c r="GM42" s="36"/>
      <c r="GN42" s="36"/>
      <c r="GO42" s="47"/>
      <c r="GP42" s="47">
        <f>SUM(FZ42:GO42)</f>
        <v>646723</v>
      </c>
      <c r="GQ42" s="137">
        <f>$H$35*$Q$24*$F$24*0.1295</f>
        <v>39627</v>
      </c>
      <c r="GR42" s="137">
        <f>$H$36*$P$24*$F$24*0.1295</f>
        <v>6293.7</v>
      </c>
      <c r="GS42" s="137">
        <f>$H$37*$O$24*$F$24*0.1295</f>
        <v>9557.1</v>
      </c>
      <c r="GT42" s="137">
        <f>$H$38*$N$24*$F$24*0.1295</f>
        <v>10955.7</v>
      </c>
      <c r="GU42" s="137">
        <f>$H$39*$M$24*$F$24*0.1295</f>
        <v>12121.2</v>
      </c>
      <c r="GV42" s="137">
        <f>$H$40*$L$29*$F$29*0.1295</f>
        <v>14763</v>
      </c>
      <c r="GW42" s="137">
        <f>$H$41*$K$29*$F$29*0.1295</f>
        <v>16317.000000000002</v>
      </c>
      <c r="GX42" s="137">
        <f>$H$42*$J$29*$F$29*0.1295</f>
        <v>18130</v>
      </c>
      <c r="GY42" s="137"/>
      <c r="GZ42" s="137"/>
      <c r="HA42" s="137"/>
      <c r="HB42" s="137"/>
      <c r="HC42" s="137"/>
      <c r="HD42" s="137"/>
      <c r="HE42" s="137"/>
      <c r="HF42" s="138"/>
      <c r="HG42" s="142">
        <f>SUM(GQ42:HF42)</f>
        <v>127764.7</v>
      </c>
      <c r="HH42" s="81">
        <f t="shared" si="12"/>
        <v>1396010</v>
      </c>
      <c r="HI42" s="81">
        <f t="shared" si="19"/>
        <v>230510</v>
      </c>
      <c r="HJ42" s="81">
        <f t="shared" si="26"/>
        <v>243460</v>
      </c>
      <c r="HK42" s="81">
        <f t="shared" si="41"/>
        <v>259000</v>
      </c>
      <c r="HL42" s="36">
        <f t="shared" si="42"/>
        <v>271950</v>
      </c>
      <c r="HM42" s="36">
        <f t="shared" si="50"/>
        <v>71225</v>
      </c>
      <c r="HN42" s="36">
        <f t="shared" si="57"/>
        <v>75110</v>
      </c>
      <c r="HO42" s="36">
        <f aca="true" t="shared" si="64" ref="HO42:HO51">$I$42*$F$28*0.1295</f>
        <v>78995</v>
      </c>
      <c r="HP42" s="36"/>
      <c r="HQ42" s="36"/>
      <c r="HR42" s="36"/>
      <c r="HS42" s="36"/>
      <c r="HT42" s="36"/>
      <c r="HU42" s="36"/>
      <c r="HV42" s="36"/>
      <c r="HW42" s="36"/>
      <c r="HX42" s="47">
        <f>SUM(HH42:HW42)</f>
        <v>2626260</v>
      </c>
      <c r="HY42" s="139">
        <f>$I$35*$Q$23*$F$23*0.1295</f>
        <v>209401.5</v>
      </c>
      <c r="HZ42" s="139">
        <f>$I$36*$P$23*$F$23*0.1295</f>
        <v>34576.5</v>
      </c>
      <c r="IA42" s="139">
        <f>$I$37*$O$23*$F$23*0.1295</f>
        <v>36519</v>
      </c>
      <c r="IB42" s="139">
        <f>$I$38*$N$23*$F$23*0.1295</f>
        <v>38850</v>
      </c>
      <c r="IC42" s="137">
        <f>$I$39*$M$23*$F$23*0.1295</f>
        <v>40792.5</v>
      </c>
      <c r="ID42" s="137">
        <f>$I$40*$L$28*$F$28*0.1295</f>
        <v>28490</v>
      </c>
      <c r="IE42" s="137">
        <f>$I$41*$K$28*$F$28*0.1295</f>
        <v>30044.000000000004</v>
      </c>
      <c r="IF42" s="137">
        <f>$I$42*$J$28*$F$28*0.1295</f>
        <v>31598.000000000004</v>
      </c>
      <c r="IG42" s="137"/>
      <c r="IH42" s="137"/>
      <c r="II42" s="137"/>
      <c r="IJ42" s="137"/>
      <c r="IK42" s="137"/>
      <c r="IL42" s="137"/>
      <c r="IM42" s="137"/>
      <c r="IN42" s="138"/>
      <c r="IO42" s="138">
        <f>SUM(HY42:IN42)</f>
        <v>450271.5</v>
      </c>
      <c r="IP42" s="38">
        <f>SUM(AB42,BJ42,CR42,DZ42,FH42,GP42,HX42)*(1+$E$10)^-10</f>
        <v>35967473.60871789</v>
      </c>
      <c r="IQ42" s="142">
        <f>SUM(AC42:AG42,BK42:BO42,CS42:CW42,EA42:EE42,FI42:FM42,GQ42:GU42,HY42:IC42)*(1+$E$10)^-10</f>
        <v>4884063.81187418</v>
      </c>
      <c r="IR42" s="142">
        <f>SUM(AH42:AJ42,BP42:BR42,CX42:CZ42,EF42:EH42,FN42:FP42,GV42:GX42,ID42:IF42)*(1+$E$10)^-10</f>
        <v>1362819.2784893427</v>
      </c>
      <c r="IS42" s="196">
        <f>SUM(AS42,CA42,DI42,EQ42,FY42,HG42,IO42)*(1+$E$10)^-10</f>
        <v>6246883.090363521</v>
      </c>
      <c r="IT42" s="159">
        <f t="shared" si="43"/>
        <v>29720590.518354367</v>
      </c>
    </row>
    <row r="43" spans="1:254" ht="15.75">
      <c r="A43" s="9">
        <v>2006</v>
      </c>
      <c r="B43" s="49">
        <v>2013</v>
      </c>
      <c r="C43" s="31">
        <v>372</v>
      </c>
      <c r="D43" s="31">
        <v>140</v>
      </c>
      <c r="E43" s="31">
        <v>1738</v>
      </c>
      <c r="F43" s="31">
        <v>579</v>
      </c>
      <c r="G43" s="31">
        <v>230</v>
      </c>
      <c r="H43" s="31">
        <v>77</v>
      </c>
      <c r="I43" s="31">
        <v>128</v>
      </c>
      <c r="J43" s="84">
        <f t="shared" si="27"/>
        <v>2752</v>
      </c>
      <c r="K43" s="86">
        <f t="shared" si="28"/>
        <v>3264</v>
      </c>
      <c r="L43" s="36">
        <f t="shared" si="0"/>
        <v>1373995</v>
      </c>
      <c r="M43" s="36">
        <f t="shared" si="13"/>
        <v>416990</v>
      </c>
      <c r="N43" s="36">
        <f t="shared" si="20"/>
        <v>457135</v>
      </c>
      <c r="O43" s="36">
        <f t="shared" si="29"/>
        <v>495985</v>
      </c>
      <c r="P43" s="36">
        <f t="shared" si="30"/>
        <v>402745</v>
      </c>
      <c r="Q43" s="36">
        <f t="shared" si="44"/>
        <v>168868</v>
      </c>
      <c r="R43" s="36">
        <f t="shared" si="51"/>
        <v>176120</v>
      </c>
      <c r="S43" s="36">
        <f t="shared" si="58"/>
        <v>184408</v>
      </c>
      <c r="T43" s="36">
        <f aca="true" t="shared" si="65" ref="T43:T52">$C$43*$F$26*0.1295</f>
        <v>192696</v>
      </c>
      <c r="U43" s="36"/>
      <c r="V43" s="36"/>
      <c r="W43" s="36"/>
      <c r="X43" s="36"/>
      <c r="Y43" s="36"/>
      <c r="Z43" s="36"/>
      <c r="AA43" s="47"/>
      <c r="AB43" s="78">
        <f t="shared" si="1"/>
        <v>3868942</v>
      </c>
      <c r="AC43" s="137">
        <f>$C$35*$R$21*$F$21*0.1295</f>
        <v>206099.25</v>
      </c>
      <c r="AD43" s="137">
        <f>$C$36*$Q$21*$F$21*0.1295</f>
        <v>62548.5</v>
      </c>
      <c r="AE43" s="137">
        <f>$C$37*$P$21*$F$21*0.1295</f>
        <v>68570.25</v>
      </c>
      <c r="AF43" s="137">
        <f>$C$38*$O$21*$F$21*0.1295</f>
        <v>74397.75</v>
      </c>
      <c r="AG43" s="137">
        <f>$C$39*$N$21*$F$21*0.1295</f>
        <v>60411.75</v>
      </c>
      <c r="AH43" s="137">
        <f>$C$40*$M$26*$F$26*0.1295</f>
        <v>67547.2</v>
      </c>
      <c r="AI43" s="137">
        <f>$C$41*$L$26*$F$26*0.1295</f>
        <v>70448</v>
      </c>
      <c r="AJ43" s="137">
        <f>$C$42*$K$26*$F$26*0.1295</f>
        <v>73763.2</v>
      </c>
      <c r="AK43" s="137">
        <f>$C$43*$J$26*$F$26*0.1295</f>
        <v>77078.40000000001</v>
      </c>
      <c r="AL43" s="137"/>
      <c r="AM43" s="137"/>
      <c r="AN43" s="137"/>
      <c r="AO43" s="137"/>
      <c r="AP43" s="137"/>
      <c r="AQ43" s="137"/>
      <c r="AR43" s="138"/>
      <c r="AS43" s="142">
        <f t="shared" si="2"/>
        <v>760864.2999999999</v>
      </c>
      <c r="AT43" s="36">
        <f t="shared" si="3"/>
        <v>897435</v>
      </c>
      <c r="AU43" s="36">
        <f t="shared" si="14"/>
        <v>378787.5</v>
      </c>
      <c r="AV43" s="36">
        <f t="shared" si="21"/>
        <v>270007.5</v>
      </c>
      <c r="AW43" s="36">
        <f t="shared" si="31"/>
        <v>163170</v>
      </c>
      <c r="AX43" s="36">
        <f t="shared" si="32"/>
        <v>240870</v>
      </c>
      <c r="AY43" s="36">
        <f t="shared" si="45"/>
        <v>74592</v>
      </c>
      <c r="AZ43" s="36">
        <f t="shared" si="52"/>
        <v>76923</v>
      </c>
      <c r="BA43" s="36">
        <f t="shared" si="59"/>
        <v>79254</v>
      </c>
      <c r="BB43" s="36">
        <f aca="true" t="shared" si="66" ref="BB43:BB52">$D$43*$F$27*0.1295</f>
        <v>81585</v>
      </c>
      <c r="BC43" s="36"/>
      <c r="BD43" s="36"/>
      <c r="BE43" s="36"/>
      <c r="BF43" s="36"/>
      <c r="BG43" s="36"/>
      <c r="BH43" s="36"/>
      <c r="BI43" s="47"/>
      <c r="BJ43" s="47">
        <f t="shared" si="4"/>
        <v>2262624</v>
      </c>
      <c r="BK43" s="137">
        <f>$D$35*$R$22*$F$22*0.1295</f>
        <v>134615.25</v>
      </c>
      <c r="BL43" s="137">
        <f>$D$36*$Q$22*$F$22*0.1295</f>
        <v>56818.125</v>
      </c>
      <c r="BM43" s="137">
        <f>$D$37*$P$22*$F$22*0.1295</f>
        <v>40501.12499999999</v>
      </c>
      <c r="BN43" s="137">
        <f>$D$38*$O$22*$F$22*0.1295</f>
        <v>24475.5</v>
      </c>
      <c r="BO43" s="137">
        <f>$D$39*$N$22*$F$22*0.1295</f>
        <v>36130.49999999999</v>
      </c>
      <c r="BP43" s="137">
        <f>$D$40*$M$27*$F$27*0.1295</f>
        <v>29836.8</v>
      </c>
      <c r="BQ43" s="137">
        <f>$D$41*$L$27*$F$27*0.1295</f>
        <v>30769.200000000004</v>
      </c>
      <c r="BR43" s="137">
        <f>$D$42*$K$27*$F$27*0.1295</f>
        <v>31701.600000000006</v>
      </c>
      <c r="BS43" s="137">
        <f>$D$43*$J$27*$F$27*0.1295</f>
        <v>32634</v>
      </c>
      <c r="BT43" s="137"/>
      <c r="BU43" s="137"/>
      <c r="BV43" s="137"/>
      <c r="BW43" s="137"/>
      <c r="BX43" s="137"/>
      <c r="BY43" s="137"/>
      <c r="BZ43" s="138"/>
      <c r="CA43" s="142">
        <f t="shared" si="5"/>
        <v>417482.1</v>
      </c>
      <c r="CB43" s="36">
        <f t="shared" si="6"/>
        <v>15656550</v>
      </c>
      <c r="CC43" s="36">
        <f t="shared" si="15"/>
        <v>5736850</v>
      </c>
      <c r="CD43" s="36">
        <f t="shared" si="22"/>
        <v>4669770</v>
      </c>
      <c r="CE43" s="36">
        <f t="shared" si="33"/>
        <v>2846410</v>
      </c>
      <c r="CF43" s="36">
        <f t="shared" si="34"/>
        <v>3675210</v>
      </c>
      <c r="CG43" s="36">
        <f t="shared" si="46"/>
        <v>966717.5</v>
      </c>
      <c r="CH43" s="36">
        <f t="shared" si="53"/>
        <v>1017222.5</v>
      </c>
      <c r="CI43" s="36">
        <f t="shared" si="60"/>
        <v>1069670</v>
      </c>
      <c r="CJ43" s="36">
        <f aca="true" t="shared" si="67" ref="CJ43:CJ52">$E$43*$F$28*0.1295</f>
        <v>1125355</v>
      </c>
      <c r="CK43" s="36"/>
      <c r="CL43" s="36"/>
      <c r="CM43" s="36"/>
      <c r="CN43" s="36"/>
      <c r="CO43" s="36"/>
      <c r="CP43" s="36"/>
      <c r="CQ43" s="47"/>
      <c r="CR43" s="47">
        <f t="shared" si="7"/>
        <v>36763755</v>
      </c>
      <c r="CS43" s="137">
        <f>$E$35*$R$23*$F$23*0.1295</f>
        <v>2348482.5</v>
      </c>
      <c r="CT43" s="137">
        <f>$E$36*$Q$23*$F$23*0.1295</f>
        <v>860527.5</v>
      </c>
      <c r="CU43" s="137">
        <f>$E$37*$P$23*$F$23*0.1295</f>
        <v>700465.5</v>
      </c>
      <c r="CV43" s="137">
        <f>$E$38*$O$23*$F$23*0.1295</f>
        <v>426961.5</v>
      </c>
      <c r="CW43" s="137">
        <f>$E$39*$N$23*$F$23*0.1295</f>
        <v>551281.5</v>
      </c>
      <c r="CX43" s="137">
        <f>$E$40*$M$28*$F$28*0.1295</f>
        <v>386687</v>
      </c>
      <c r="CY43" s="137">
        <f>$E$41*$L$28*$F$28*0.1295</f>
        <v>406889.00000000006</v>
      </c>
      <c r="CZ43" s="137">
        <f>$E$42*$K$28*$F$28*0.1295</f>
        <v>427868.00000000006</v>
      </c>
      <c r="DA43" s="137">
        <f>$E$43*$J$28*$F$28*0.1295</f>
        <v>450142</v>
      </c>
      <c r="DB43" s="137"/>
      <c r="DC43" s="137"/>
      <c r="DD43" s="137"/>
      <c r="DE43" s="137"/>
      <c r="DF43" s="137"/>
      <c r="DG43" s="137"/>
      <c r="DH43" s="138"/>
      <c r="DI43" s="142">
        <f t="shared" si="8"/>
        <v>6559304.5</v>
      </c>
      <c r="DJ43" s="36">
        <f t="shared" si="9"/>
        <v>5218850</v>
      </c>
      <c r="DK43" s="36">
        <f t="shared" si="16"/>
        <v>1911420</v>
      </c>
      <c r="DL43" s="36">
        <f t="shared" si="23"/>
        <v>1556590</v>
      </c>
      <c r="DM43" s="36">
        <f t="shared" si="35"/>
        <v>947940</v>
      </c>
      <c r="DN43" s="36">
        <f t="shared" si="36"/>
        <v>1225070</v>
      </c>
      <c r="DO43" s="36">
        <f t="shared" si="47"/>
        <v>322455</v>
      </c>
      <c r="DP43" s="36">
        <f t="shared" si="54"/>
        <v>339290</v>
      </c>
      <c r="DQ43" s="36">
        <f t="shared" si="61"/>
        <v>356772.5</v>
      </c>
      <c r="DR43" s="36">
        <f aca="true" t="shared" si="68" ref="DR43:DR52">$F$43*$F$28*0.1295</f>
        <v>374902.5</v>
      </c>
      <c r="DS43" s="36"/>
      <c r="DT43" s="36"/>
      <c r="DU43" s="36"/>
      <c r="DV43" s="36"/>
      <c r="DW43" s="36"/>
      <c r="DX43" s="36"/>
      <c r="DY43" s="47"/>
      <c r="DZ43" s="78">
        <f>SUM(DJ43:DY43)</f>
        <v>12253290</v>
      </c>
      <c r="EA43" s="137">
        <f>$F$35*$R$23*$F$23*0.1295</f>
        <v>782827.5</v>
      </c>
      <c r="EB43" s="137">
        <f>$F$36*$Q$23*$F$23*0.1295</f>
        <v>286713</v>
      </c>
      <c r="EC43" s="137">
        <f>$F$37*$P$23*$F$23*0.1295</f>
        <v>233488.49999999997</v>
      </c>
      <c r="ED43" s="137">
        <f>$F$38*$O$23*$F$23*0.1295</f>
        <v>142191</v>
      </c>
      <c r="EE43" s="137">
        <f>$F$39*$N$23*$F$23*0.1295</f>
        <v>183760.5</v>
      </c>
      <c r="EF43" s="137">
        <f>$F$40*$M$28*$F$28*0.1295</f>
        <v>128982.00000000001</v>
      </c>
      <c r="EG43" s="137">
        <f>$F$41*$L$28*$F$28*0.1295</f>
        <v>135716.00000000003</v>
      </c>
      <c r="EH43" s="137">
        <f>$F$42*$K$28*$F$28*0.1295</f>
        <v>142709</v>
      </c>
      <c r="EI43" s="137">
        <f>$F$43*$J$28*$F$28*0.1295</f>
        <v>149961</v>
      </c>
      <c r="EJ43" s="137"/>
      <c r="EK43" s="137"/>
      <c r="EL43" s="137"/>
      <c r="EM43" s="137"/>
      <c r="EN43" s="137"/>
      <c r="EO43" s="137"/>
      <c r="EP43" s="138"/>
      <c r="EQ43" s="142">
        <f>SUM(EA43:EP43)</f>
        <v>2186348.5</v>
      </c>
      <c r="ER43" s="36">
        <f t="shared" si="10"/>
        <v>790986</v>
      </c>
      <c r="ES43" s="36">
        <f t="shared" si="17"/>
        <v>124320</v>
      </c>
      <c r="ET43" s="36">
        <f t="shared" si="24"/>
        <v>192696</v>
      </c>
      <c r="EU43" s="36">
        <f t="shared" si="37"/>
        <v>220668</v>
      </c>
      <c r="EV43" s="36">
        <f t="shared" si="38"/>
        <v>242424</v>
      </c>
      <c r="EW43" s="36">
        <f t="shared" si="48"/>
        <v>111370</v>
      </c>
      <c r="EX43" s="36">
        <f t="shared" si="55"/>
        <v>122377.5</v>
      </c>
      <c r="EY43" s="36">
        <f t="shared" si="62"/>
        <v>135327.5</v>
      </c>
      <c r="EZ43" s="36">
        <f aca="true" t="shared" si="69" ref="EZ43:EZ52">$G$43*$F$29*0.1295</f>
        <v>148925</v>
      </c>
      <c r="FA43" s="36"/>
      <c r="FB43" s="36"/>
      <c r="FC43" s="36"/>
      <c r="FD43" s="36"/>
      <c r="FE43" s="36"/>
      <c r="FF43" s="36"/>
      <c r="FG43" s="47"/>
      <c r="FH43" s="78">
        <f>SUM(ER43:FG43)</f>
        <v>2089094</v>
      </c>
      <c r="FI43" s="137">
        <f>$G$35*$R$24*$F$24*0.1295</f>
        <v>118647.9</v>
      </c>
      <c r="FJ43" s="137">
        <f>$G$36*$Q$24*$F$24*0.1295</f>
        <v>18648</v>
      </c>
      <c r="FK43" s="137">
        <f>$G$37*$P$24*$F$24*0.1295</f>
        <v>28904.399999999998</v>
      </c>
      <c r="FL43" s="137">
        <f>$G$38*$O$24*$F$24*0.1295</f>
        <v>33100.200000000004</v>
      </c>
      <c r="FM43" s="137">
        <f>$G$39*$N$24*$F$24*0.1295</f>
        <v>36363.6</v>
      </c>
      <c r="FN43" s="137">
        <f>$G$40*$M$29*$F$29*0.1295</f>
        <v>44548</v>
      </c>
      <c r="FO43" s="137">
        <f>$G$41*$L$29*$F$29*0.1295</f>
        <v>48951.00000000001</v>
      </c>
      <c r="FP43" s="137">
        <f>$G$42*$K$29*$F$29*0.1295</f>
        <v>54131.00000000001</v>
      </c>
      <c r="FQ43" s="137">
        <f>$G$43*$J$29*$F$29*0.1295</f>
        <v>59570</v>
      </c>
      <c r="FR43" s="137"/>
      <c r="FS43" s="137"/>
      <c r="FT43" s="137"/>
      <c r="FU43" s="137"/>
      <c r="FV43" s="137"/>
      <c r="FW43" s="137"/>
      <c r="FX43" s="138"/>
      <c r="FY43" s="142">
        <f>SUM(FI43:FX43)</f>
        <v>442864.1</v>
      </c>
      <c r="FZ43" s="36">
        <f t="shared" si="11"/>
        <v>264180</v>
      </c>
      <c r="GA43" s="36">
        <f t="shared" si="18"/>
        <v>41958</v>
      </c>
      <c r="GB43" s="36">
        <f t="shared" si="25"/>
        <v>63714</v>
      </c>
      <c r="GC43" s="36">
        <f t="shared" si="39"/>
        <v>73038</v>
      </c>
      <c r="GD43" s="36">
        <f t="shared" si="40"/>
        <v>80808</v>
      </c>
      <c r="GE43" s="36">
        <f t="shared" si="49"/>
        <v>36907.5</v>
      </c>
      <c r="GF43" s="36">
        <f t="shared" si="56"/>
        <v>40792.5</v>
      </c>
      <c r="GG43" s="36">
        <f t="shared" si="63"/>
        <v>45325</v>
      </c>
      <c r="GH43" s="36">
        <f aca="true" t="shared" si="70" ref="GH43:GH52">$H$43*$F$29*0.1295</f>
        <v>49857.5</v>
      </c>
      <c r="GI43" s="36"/>
      <c r="GJ43" s="36"/>
      <c r="GK43" s="36"/>
      <c r="GL43" s="36"/>
      <c r="GM43" s="36"/>
      <c r="GN43" s="36"/>
      <c r="GO43" s="47"/>
      <c r="GP43" s="47">
        <f>SUM(FZ43:GO43)</f>
        <v>696580.5</v>
      </c>
      <c r="GQ43" s="137">
        <f>$H$35*$R$24*$F$24*0.1295</f>
        <v>39627</v>
      </c>
      <c r="GR43" s="137">
        <f>$H$36*$Q$24*$F$24*0.1295</f>
        <v>6293.7</v>
      </c>
      <c r="GS43" s="137">
        <f>$H$37*$P$24*$F$24*0.1295</f>
        <v>9557.1</v>
      </c>
      <c r="GT43" s="137">
        <f>$H$38*$O$24*$F$24*0.1295</f>
        <v>10955.7</v>
      </c>
      <c r="GU43" s="137">
        <f>$H$39*$N$24*$F$24*0.1295</f>
        <v>12121.2</v>
      </c>
      <c r="GV43" s="137">
        <f>$H$40*$M$29*$F$29*0.1295</f>
        <v>14763</v>
      </c>
      <c r="GW43" s="137">
        <f>$H$41*$L$29*$F$29*0.1295</f>
        <v>16317.000000000002</v>
      </c>
      <c r="GX43" s="137">
        <f>$H$42*$K$29*$F$29*0.1295</f>
        <v>18130</v>
      </c>
      <c r="GY43" s="137">
        <f>$H$43*$J$29*$F$29*0.1295</f>
        <v>19943</v>
      </c>
      <c r="GZ43" s="137"/>
      <c r="HA43" s="137"/>
      <c r="HB43" s="137"/>
      <c r="HC43" s="137"/>
      <c r="HD43" s="137"/>
      <c r="HE43" s="137"/>
      <c r="HF43" s="138"/>
      <c r="HG43" s="142">
        <f>SUM(GQ43:HF43)</f>
        <v>147707.7</v>
      </c>
      <c r="HH43" s="81">
        <f t="shared" si="12"/>
        <v>1396010</v>
      </c>
      <c r="HI43" s="81">
        <f t="shared" si="19"/>
        <v>230510</v>
      </c>
      <c r="HJ43" s="81">
        <f t="shared" si="26"/>
        <v>243460</v>
      </c>
      <c r="HK43" s="81">
        <f t="shared" si="41"/>
        <v>259000</v>
      </c>
      <c r="HL43" s="36">
        <f t="shared" si="42"/>
        <v>271950</v>
      </c>
      <c r="HM43" s="36">
        <f t="shared" si="50"/>
        <v>71225</v>
      </c>
      <c r="HN43" s="36">
        <f t="shared" si="57"/>
        <v>75110</v>
      </c>
      <c r="HO43" s="36">
        <f t="shared" si="64"/>
        <v>78995</v>
      </c>
      <c r="HP43" s="36">
        <f aca="true" t="shared" si="71" ref="HP43:HP52">$I$43*$F$28*0.1295</f>
        <v>82880</v>
      </c>
      <c r="HQ43" s="36"/>
      <c r="HR43" s="36"/>
      <c r="HS43" s="36"/>
      <c r="HT43" s="36"/>
      <c r="HU43" s="36"/>
      <c r="HV43" s="36"/>
      <c r="HW43" s="36"/>
      <c r="HX43" s="47">
        <f>SUM(HH43:HW43)</f>
        <v>2709140</v>
      </c>
      <c r="HY43" s="139">
        <f>$I$35*$R$23*$F$23*0.1295</f>
        <v>209401.5</v>
      </c>
      <c r="HZ43" s="139">
        <f>$I$36*$Q$23*$F$23*0.1295</f>
        <v>34576.5</v>
      </c>
      <c r="IA43" s="139">
        <f>$I$37*$P$23*$F$23*0.1295</f>
        <v>36519</v>
      </c>
      <c r="IB43" s="139">
        <f>$I$38*$O$23*$F$23*0.1295</f>
        <v>38850</v>
      </c>
      <c r="IC43" s="137">
        <f>$I$39*$N$23*$F$23*0.1295</f>
        <v>40792.5</v>
      </c>
      <c r="ID43" s="137">
        <f>$I$40*$M$28*$F$28*0.1295</f>
        <v>28490</v>
      </c>
      <c r="IE43" s="137">
        <f>$I$41*$L$28*$F$28*0.1295</f>
        <v>30044.000000000004</v>
      </c>
      <c r="IF43" s="137">
        <f>$I$42*$K$28*$F$28*0.1295</f>
        <v>31598.000000000004</v>
      </c>
      <c r="IG43" s="137">
        <f>$I$43*$J$28*$F$28*0.1295</f>
        <v>33152</v>
      </c>
      <c r="IH43" s="137"/>
      <c r="II43" s="137"/>
      <c r="IJ43" s="137"/>
      <c r="IK43" s="137"/>
      <c r="IL43" s="137"/>
      <c r="IM43" s="137"/>
      <c r="IN43" s="138"/>
      <c r="IO43" s="138">
        <f>SUM(HY43:IN43)</f>
        <v>483423.5</v>
      </c>
      <c r="IP43" s="38">
        <f>SUM(AB43,BJ43,CR43,DZ43,FH43,GP43,HX43)*(1+$E$10)^-11</f>
        <v>35456954.90910633</v>
      </c>
      <c r="IQ43" s="142">
        <f>SUM(AC43:AG43,BK43:BO43,CS43:CW43,EA43:EE43,FI43:FM43,GQ43:GU43,HY43:IC43)*(1+$E$10)^-11</f>
        <v>4651489.344642076</v>
      </c>
      <c r="IR43" s="142">
        <f>SUM(AH43:AK43,BP43:BS43,CX43:DA43,EF43:EI43,FN43:FQ43,GV43:GY43,ID43:IG43)*(1+$E$10)^-11</f>
        <v>1778810.3779303313</v>
      </c>
      <c r="IS43" s="196">
        <f>SUM(AS43,CA43,DI43,EQ43,FY43,HG43,IO43)*(1+$E$10)^-11</f>
        <v>6430299.722572406</v>
      </c>
      <c r="IT43" s="159">
        <f t="shared" si="43"/>
        <v>29026655.186533924</v>
      </c>
    </row>
    <row r="44" spans="1:254" ht="15.75">
      <c r="A44" s="9">
        <v>2007</v>
      </c>
      <c r="B44" s="49">
        <v>2014</v>
      </c>
      <c r="C44" s="31">
        <v>389</v>
      </c>
      <c r="D44" s="31">
        <v>144</v>
      </c>
      <c r="E44" s="31">
        <v>1829</v>
      </c>
      <c r="F44" s="31">
        <v>610</v>
      </c>
      <c r="G44" s="31">
        <v>254</v>
      </c>
      <c r="H44" s="31">
        <v>85</v>
      </c>
      <c r="I44" s="31">
        <v>135</v>
      </c>
      <c r="J44" s="84">
        <f t="shared" si="27"/>
        <v>2913</v>
      </c>
      <c r="K44" s="86">
        <f t="shared" si="28"/>
        <v>3446</v>
      </c>
      <c r="L44" s="36">
        <f t="shared" si="0"/>
        <v>1373995</v>
      </c>
      <c r="M44" s="36">
        <f t="shared" si="13"/>
        <v>416990</v>
      </c>
      <c r="N44" s="36">
        <f t="shared" si="20"/>
        <v>457135</v>
      </c>
      <c r="O44" s="36">
        <f t="shared" si="29"/>
        <v>495985</v>
      </c>
      <c r="P44" s="36">
        <f t="shared" si="30"/>
        <v>402745</v>
      </c>
      <c r="Q44" s="36">
        <f t="shared" si="44"/>
        <v>168868</v>
      </c>
      <c r="R44" s="36">
        <f t="shared" si="51"/>
        <v>176120</v>
      </c>
      <c r="S44" s="36">
        <f t="shared" si="58"/>
        <v>184408</v>
      </c>
      <c r="T44" s="36">
        <f t="shared" si="65"/>
        <v>192696</v>
      </c>
      <c r="U44" s="36">
        <f aca="true" t="shared" si="72" ref="U44:U53">$C$44*$F$26*0.1295</f>
        <v>201502</v>
      </c>
      <c r="V44" s="36"/>
      <c r="W44" s="36"/>
      <c r="X44" s="36"/>
      <c r="Y44" s="36"/>
      <c r="Z44" s="36"/>
      <c r="AA44" s="47"/>
      <c r="AB44" s="78">
        <f t="shared" si="1"/>
        <v>4070444</v>
      </c>
      <c r="AC44" s="137">
        <f>$C$35*$S$21*$F$21*0.1295</f>
        <v>206099.25</v>
      </c>
      <c r="AD44" s="137">
        <f>$C$36*$R$21*$F$21*0.1295</f>
        <v>62548.5</v>
      </c>
      <c r="AE44" s="137">
        <f>$C$37*$Q$21*$F$21*0.1295</f>
        <v>68570.25</v>
      </c>
      <c r="AF44" s="137">
        <f>$C$38*$P$21*$F$21*0.1295</f>
        <v>74397.75</v>
      </c>
      <c r="AG44" s="137">
        <f>$C$39*$O$21*$F$21*0.1295</f>
        <v>60411.75</v>
      </c>
      <c r="AH44" s="137">
        <f>$C$40*$N$26*$F$26*0.1295</f>
        <v>67547.2</v>
      </c>
      <c r="AI44" s="137">
        <f>$C$41*$M$26*$F$26*0.1295</f>
        <v>70448</v>
      </c>
      <c r="AJ44" s="137">
        <f>$C$42*$L$26*$F$26*0.1295</f>
        <v>73763.2</v>
      </c>
      <c r="AK44" s="137">
        <f>$C$43*$K$26*$F$26*0.1295</f>
        <v>77078.40000000001</v>
      </c>
      <c r="AL44" s="137">
        <f>$C$44*$J$26*$F$26*0.1295</f>
        <v>80600.80000000002</v>
      </c>
      <c r="AM44" s="137"/>
      <c r="AN44" s="137"/>
      <c r="AO44" s="137"/>
      <c r="AP44" s="137"/>
      <c r="AQ44" s="137"/>
      <c r="AR44" s="138"/>
      <c r="AS44" s="142">
        <f t="shared" si="2"/>
        <v>841465.1</v>
      </c>
      <c r="AT44" s="36">
        <f t="shared" si="3"/>
        <v>897435</v>
      </c>
      <c r="AU44" s="36">
        <f t="shared" si="14"/>
        <v>378787.5</v>
      </c>
      <c r="AV44" s="36">
        <f t="shared" si="21"/>
        <v>270007.5</v>
      </c>
      <c r="AW44" s="36">
        <f t="shared" si="31"/>
        <v>163170</v>
      </c>
      <c r="AX44" s="36">
        <f t="shared" si="32"/>
        <v>240870</v>
      </c>
      <c r="AY44" s="36">
        <f t="shared" si="45"/>
        <v>74592</v>
      </c>
      <c r="AZ44" s="36">
        <f t="shared" si="52"/>
        <v>76923</v>
      </c>
      <c r="BA44" s="36">
        <f t="shared" si="59"/>
        <v>79254</v>
      </c>
      <c r="BB44" s="36">
        <f t="shared" si="66"/>
        <v>81585</v>
      </c>
      <c r="BC44" s="36">
        <f aca="true" t="shared" si="73" ref="BC44:BC53">$D$44*$F$27*0.1295</f>
        <v>83916</v>
      </c>
      <c r="BD44" s="36"/>
      <c r="BE44" s="36"/>
      <c r="BF44" s="36"/>
      <c r="BG44" s="36"/>
      <c r="BH44" s="36"/>
      <c r="BI44" s="47"/>
      <c r="BJ44" s="47">
        <f t="shared" si="4"/>
        <v>2346540</v>
      </c>
      <c r="BK44" s="137">
        <f>$D$35*$S$22*$F$22*0.1295</f>
        <v>134615.25</v>
      </c>
      <c r="BL44" s="137">
        <f>$D$36*$R$22*$F$22*0.1295</f>
        <v>56818.125</v>
      </c>
      <c r="BM44" s="137">
        <f>$D$37*$Q$22*$F$22*0.1295</f>
        <v>40501.12499999999</v>
      </c>
      <c r="BN44" s="137">
        <f>$D$38*$P$22*$F$22*0.1295</f>
        <v>24475.5</v>
      </c>
      <c r="BO44" s="137">
        <f>$D$39*$O$22*$F$22*0.1295</f>
        <v>36130.49999999999</v>
      </c>
      <c r="BP44" s="137">
        <f>$D$40*$N$27*$F$27*0.1295</f>
        <v>29836.8</v>
      </c>
      <c r="BQ44" s="137">
        <f>$D$41*$M$27*$F$27*0.1295</f>
        <v>30769.200000000004</v>
      </c>
      <c r="BR44" s="137">
        <f>$D$42*$L$27*$F$27*0.1295</f>
        <v>31701.600000000006</v>
      </c>
      <c r="BS44" s="137">
        <f>$D$43*$K$27*$F$27*0.1295</f>
        <v>32634</v>
      </c>
      <c r="BT44" s="137">
        <f>$D$44*$J$27*$F$27*0.1295</f>
        <v>33566.4</v>
      </c>
      <c r="BU44" s="137"/>
      <c r="BV44" s="137"/>
      <c r="BW44" s="137"/>
      <c r="BX44" s="137"/>
      <c r="BY44" s="137"/>
      <c r="BZ44" s="138"/>
      <c r="CA44" s="142">
        <f t="shared" si="5"/>
        <v>451048.5</v>
      </c>
      <c r="CB44" s="36">
        <f t="shared" si="6"/>
        <v>15656550</v>
      </c>
      <c r="CC44" s="36">
        <f t="shared" si="15"/>
        <v>5736850</v>
      </c>
      <c r="CD44" s="36">
        <f t="shared" si="22"/>
        <v>4669770</v>
      </c>
      <c r="CE44" s="36">
        <f t="shared" si="33"/>
        <v>2846410</v>
      </c>
      <c r="CF44" s="36">
        <f t="shared" si="34"/>
        <v>3675210</v>
      </c>
      <c r="CG44" s="36">
        <f t="shared" si="46"/>
        <v>966717.5</v>
      </c>
      <c r="CH44" s="36">
        <f t="shared" si="53"/>
        <v>1017222.5</v>
      </c>
      <c r="CI44" s="36">
        <f t="shared" si="60"/>
        <v>1069670</v>
      </c>
      <c r="CJ44" s="36">
        <f t="shared" si="67"/>
        <v>1125355</v>
      </c>
      <c r="CK44" s="36">
        <f aca="true" t="shared" si="74" ref="CK44:CK53">$E$44*$F$28*0.1295</f>
        <v>1184277.5</v>
      </c>
      <c r="CL44" s="36"/>
      <c r="CM44" s="36"/>
      <c r="CN44" s="36"/>
      <c r="CO44" s="36"/>
      <c r="CP44" s="36"/>
      <c r="CQ44" s="47"/>
      <c r="CR44" s="47">
        <f t="shared" si="7"/>
        <v>37948032.5</v>
      </c>
      <c r="CS44" s="137">
        <f>$E$35*$S$23*$F$23*0.1295</f>
        <v>2348482.5</v>
      </c>
      <c r="CT44" s="137">
        <f>$E$36*$R$23*$F$23*0.1295</f>
        <v>860527.5</v>
      </c>
      <c r="CU44" s="137">
        <f>$E$37*$Q$23*$F$23*0.1295</f>
        <v>700465.5</v>
      </c>
      <c r="CV44" s="137">
        <f>$E$38*$P$23*$F$23*0.1295</f>
        <v>426961.5</v>
      </c>
      <c r="CW44" s="137">
        <f>$E$39*$O$23*$F$23*0.1295</f>
        <v>551281.5</v>
      </c>
      <c r="CX44" s="137">
        <f>$E$40*$N$28*$F$28*0.1295</f>
        <v>386687</v>
      </c>
      <c r="CY44" s="137">
        <f>$E$41*$M$28*$F$28*0.1295</f>
        <v>406889.00000000006</v>
      </c>
      <c r="CZ44" s="137">
        <f>$E$42*$L$28*$F$28*0.1295</f>
        <v>427868.00000000006</v>
      </c>
      <c r="DA44" s="137">
        <f>$E$43*$K$28*$F$28*0.1295</f>
        <v>450142</v>
      </c>
      <c r="DB44" s="137">
        <f>$E$44*$J$28*$F$28*0.1295</f>
        <v>473711</v>
      </c>
      <c r="DC44" s="137"/>
      <c r="DD44" s="137"/>
      <c r="DE44" s="137"/>
      <c r="DF44" s="137"/>
      <c r="DG44" s="137"/>
      <c r="DH44" s="138"/>
      <c r="DI44" s="142">
        <f t="shared" si="8"/>
        <v>7033015.5</v>
      </c>
      <c r="DJ44" s="36">
        <f t="shared" si="9"/>
        <v>5218850</v>
      </c>
      <c r="DK44" s="36">
        <f t="shared" si="16"/>
        <v>1911420</v>
      </c>
      <c r="DL44" s="36">
        <f t="shared" si="23"/>
        <v>1556590</v>
      </c>
      <c r="DM44" s="36">
        <f t="shared" si="35"/>
        <v>947940</v>
      </c>
      <c r="DN44" s="36">
        <f t="shared" si="36"/>
        <v>1225070</v>
      </c>
      <c r="DO44" s="36">
        <f t="shared" si="47"/>
        <v>322455</v>
      </c>
      <c r="DP44" s="36">
        <f t="shared" si="54"/>
        <v>339290</v>
      </c>
      <c r="DQ44" s="36">
        <f t="shared" si="61"/>
        <v>356772.5</v>
      </c>
      <c r="DR44" s="36">
        <f t="shared" si="68"/>
        <v>374902.5</v>
      </c>
      <c r="DS44" s="36">
        <f aca="true" t="shared" si="75" ref="DS44:DS53">$F$44*$F$28*0.1295</f>
        <v>394975</v>
      </c>
      <c r="DT44" s="36"/>
      <c r="DU44" s="36"/>
      <c r="DV44" s="36"/>
      <c r="DW44" s="36"/>
      <c r="DX44" s="36"/>
      <c r="DY44" s="47"/>
      <c r="DZ44" s="78">
        <f>SUM(DJ44:DY44)</f>
        <v>12648265</v>
      </c>
      <c r="EA44" s="137">
        <f>$F$35*$S$23*$F$23*0.1295</f>
        <v>782827.5</v>
      </c>
      <c r="EB44" s="137">
        <f>$F$36*$R$23*$F$23*0.1295</f>
        <v>286713</v>
      </c>
      <c r="EC44" s="137">
        <f>$F$37*$Q$23*$F$23*0.1295</f>
        <v>233488.49999999997</v>
      </c>
      <c r="ED44" s="137">
        <f>$F$38*$P$23*$F$23*0.1295</f>
        <v>142191</v>
      </c>
      <c r="EE44" s="137">
        <f>$F$39*$O$23*$F$23*0.1295</f>
        <v>183760.5</v>
      </c>
      <c r="EF44" s="137">
        <f>$F$40*$N$28*$F$28*0.1295</f>
        <v>128982.00000000001</v>
      </c>
      <c r="EG44" s="137">
        <f>$F$41*$M$28*$F$28*0.1295</f>
        <v>135716.00000000003</v>
      </c>
      <c r="EH44" s="137">
        <f>$F$42*$L$28*$F$28*0.1295</f>
        <v>142709</v>
      </c>
      <c r="EI44" s="137">
        <f>$F$43*$K$28*$F$28*0.1295</f>
        <v>149961</v>
      </c>
      <c r="EJ44" s="137">
        <f>$F$44*$J$28*$F$28*0.1295</f>
        <v>157990</v>
      </c>
      <c r="EK44" s="137"/>
      <c r="EL44" s="137"/>
      <c r="EM44" s="137"/>
      <c r="EN44" s="137"/>
      <c r="EO44" s="137"/>
      <c r="EP44" s="138"/>
      <c r="EQ44" s="142">
        <f>SUM(EA44:EP44)</f>
        <v>2344338.5</v>
      </c>
      <c r="ER44" s="36">
        <f t="shared" si="10"/>
        <v>790986</v>
      </c>
      <c r="ES44" s="36">
        <f t="shared" si="17"/>
        <v>124320</v>
      </c>
      <c r="ET44" s="36">
        <f t="shared" si="24"/>
        <v>192696</v>
      </c>
      <c r="EU44" s="36">
        <f t="shared" si="37"/>
        <v>220668</v>
      </c>
      <c r="EV44" s="36">
        <f t="shared" si="38"/>
        <v>242424</v>
      </c>
      <c r="EW44" s="36">
        <f t="shared" si="48"/>
        <v>111370</v>
      </c>
      <c r="EX44" s="36">
        <f t="shared" si="55"/>
        <v>122377.5</v>
      </c>
      <c r="EY44" s="36">
        <f t="shared" si="62"/>
        <v>135327.5</v>
      </c>
      <c r="EZ44" s="36">
        <f t="shared" si="69"/>
        <v>148925</v>
      </c>
      <c r="FA44" s="36">
        <f aca="true" t="shared" si="76" ref="FA44:FA53">$G$44*$F$29*0.1295</f>
        <v>164465</v>
      </c>
      <c r="FB44" s="36"/>
      <c r="FC44" s="36"/>
      <c r="FD44" s="36"/>
      <c r="FE44" s="36"/>
      <c r="FF44" s="36"/>
      <c r="FG44" s="47"/>
      <c r="FH44" s="78">
        <f>SUM(ER44:FG44)</f>
        <v>2253559</v>
      </c>
      <c r="FI44" s="137">
        <f>$G$35*$S$24*$F$24*0.1295</f>
        <v>118647.9</v>
      </c>
      <c r="FJ44" s="137">
        <f>$G$36*$R$24*$F$24*0.1295</f>
        <v>18648</v>
      </c>
      <c r="FK44" s="137">
        <f>$G$37*$Q$24*$F$24*0.1295</f>
        <v>28904.399999999998</v>
      </c>
      <c r="FL44" s="137">
        <f>$G$38*$P$24*$F$24*0.1295</f>
        <v>33100.200000000004</v>
      </c>
      <c r="FM44" s="137">
        <f>$G$39*$O$24*$F$24*0.1295</f>
        <v>36363.6</v>
      </c>
      <c r="FN44" s="137">
        <f>$G$40*$N$29*$F$29*0.1295</f>
        <v>44548</v>
      </c>
      <c r="FO44" s="137">
        <f>$G$41*$M$29*$F$29*0.1295</f>
        <v>48951.00000000001</v>
      </c>
      <c r="FP44" s="137">
        <f>$G$42*$L$29*$F$29*0.1295</f>
        <v>54131.00000000001</v>
      </c>
      <c r="FQ44" s="137">
        <f>$G$43*$K$29*$F$29*0.1295</f>
        <v>59570</v>
      </c>
      <c r="FR44" s="137">
        <f>$G$44*$J$29*$F$29*0.1295</f>
        <v>65786.00000000001</v>
      </c>
      <c r="FS44" s="137"/>
      <c r="FT44" s="137"/>
      <c r="FU44" s="137"/>
      <c r="FV44" s="137"/>
      <c r="FW44" s="137"/>
      <c r="FX44" s="138"/>
      <c r="FY44" s="142">
        <f>SUM(FI44:FX44)</f>
        <v>508650.1</v>
      </c>
      <c r="FZ44" s="36">
        <f t="shared" si="11"/>
        <v>264180</v>
      </c>
      <c r="GA44" s="36">
        <f t="shared" si="18"/>
        <v>41958</v>
      </c>
      <c r="GB44" s="36">
        <f t="shared" si="25"/>
        <v>63714</v>
      </c>
      <c r="GC44" s="36">
        <f t="shared" si="39"/>
        <v>73038</v>
      </c>
      <c r="GD44" s="36">
        <f t="shared" si="40"/>
        <v>80808</v>
      </c>
      <c r="GE44" s="36">
        <f t="shared" si="49"/>
        <v>36907.5</v>
      </c>
      <c r="GF44" s="36">
        <f t="shared" si="56"/>
        <v>40792.5</v>
      </c>
      <c r="GG44" s="36">
        <f t="shared" si="63"/>
        <v>45325</v>
      </c>
      <c r="GH44" s="36">
        <f t="shared" si="70"/>
        <v>49857.5</v>
      </c>
      <c r="GI44" s="36">
        <f aca="true" t="shared" si="77" ref="GI44:GI53">$H$44*$F$29*0.1295</f>
        <v>55037.5</v>
      </c>
      <c r="GJ44" s="36"/>
      <c r="GK44" s="36"/>
      <c r="GL44" s="36"/>
      <c r="GM44" s="36"/>
      <c r="GN44" s="36"/>
      <c r="GO44" s="47"/>
      <c r="GP44" s="47">
        <f>SUM(FZ44:GO44)</f>
        <v>751618</v>
      </c>
      <c r="GQ44" s="137">
        <f>$H$35*$S$24*$F$24*0.1295</f>
        <v>39627</v>
      </c>
      <c r="GR44" s="137">
        <f>$H$36*$R$24*$F$24*0.1295</f>
        <v>6293.7</v>
      </c>
      <c r="GS44" s="137">
        <f>$H$37*$Q$24*$F$24*0.1295</f>
        <v>9557.1</v>
      </c>
      <c r="GT44" s="137">
        <f>$H$38*$P$24*$F$24*0.1295</f>
        <v>10955.7</v>
      </c>
      <c r="GU44" s="137">
        <f>$H$39*$O$24*$F$24*0.1295</f>
        <v>12121.2</v>
      </c>
      <c r="GV44" s="137">
        <f>$H$40*$N$29*$F$29*0.1295</f>
        <v>14763</v>
      </c>
      <c r="GW44" s="137">
        <f>$H$41*$M$29*$F$29*0.1295</f>
        <v>16317.000000000002</v>
      </c>
      <c r="GX44" s="137">
        <f>$H$42*$L$29*$F$29*0.1295</f>
        <v>18130</v>
      </c>
      <c r="GY44" s="137">
        <f>$H$43*$K$29*$F$29*0.1295</f>
        <v>19943</v>
      </c>
      <c r="GZ44" s="137">
        <f>$H$44*$J$29*$F$29*0.1295</f>
        <v>22015</v>
      </c>
      <c r="HA44" s="137"/>
      <c r="HB44" s="137"/>
      <c r="HC44" s="137"/>
      <c r="HD44" s="137"/>
      <c r="HE44" s="137"/>
      <c r="HF44" s="138"/>
      <c r="HG44" s="142">
        <f>SUM(GQ44:HF44)</f>
        <v>169722.7</v>
      </c>
      <c r="HH44" s="81">
        <f t="shared" si="12"/>
        <v>1396010</v>
      </c>
      <c r="HI44" s="81">
        <f t="shared" si="19"/>
        <v>230510</v>
      </c>
      <c r="HJ44" s="81">
        <f t="shared" si="26"/>
        <v>243460</v>
      </c>
      <c r="HK44" s="81">
        <f t="shared" si="41"/>
        <v>259000</v>
      </c>
      <c r="HL44" s="36">
        <f t="shared" si="42"/>
        <v>271950</v>
      </c>
      <c r="HM44" s="36">
        <f t="shared" si="50"/>
        <v>71225</v>
      </c>
      <c r="HN44" s="36">
        <f t="shared" si="57"/>
        <v>75110</v>
      </c>
      <c r="HO44" s="36">
        <f t="shared" si="64"/>
        <v>78995</v>
      </c>
      <c r="HP44" s="36">
        <f t="shared" si="71"/>
        <v>82880</v>
      </c>
      <c r="HQ44" s="36">
        <f aca="true" t="shared" si="78" ref="HQ44:HQ53">$I$44*$F$28*0.1295</f>
        <v>87412.5</v>
      </c>
      <c r="HR44" s="36"/>
      <c r="HS44" s="36"/>
      <c r="HT44" s="36"/>
      <c r="HU44" s="36"/>
      <c r="HV44" s="36"/>
      <c r="HW44" s="36"/>
      <c r="HX44" s="47">
        <f>SUM(HH44:HW44)</f>
        <v>2796552.5</v>
      </c>
      <c r="HY44" s="139">
        <f>$I$35*$S$23*$F$23*0.1295</f>
        <v>209401.5</v>
      </c>
      <c r="HZ44" s="139">
        <f>$I$36*$R$23*$F$23*0.1295</f>
        <v>34576.5</v>
      </c>
      <c r="IA44" s="139">
        <f>$I$37*$Q$23*$F$23*0.1295</f>
        <v>36519</v>
      </c>
      <c r="IB44" s="139">
        <f>$I$38*$P$23*$F$23*0.1295</f>
        <v>38850</v>
      </c>
      <c r="IC44" s="137">
        <f>$I$39*$O$23*$F$23*0.1295</f>
        <v>40792.5</v>
      </c>
      <c r="ID44" s="137">
        <f>$I$40*$N$28*$F$28*0.1295</f>
        <v>28490</v>
      </c>
      <c r="IE44" s="137">
        <f>$I$41*$M$28*$F$28*0.1295</f>
        <v>30044.000000000004</v>
      </c>
      <c r="IF44" s="137">
        <f>$I$42*$L$28*$F$28*0.1295</f>
        <v>31598.000000000004</v>
      </c>
      <c r="IG44" s="137">
        <f>$I$43*$K$28*$F$28*0.1295</f>
        <v>33152</v>
      </c>
      <c r="IH44" s="137">
        <f>$I$44*$J$28*$F$28*0.1295</f>
        <v>34965</v>
      </c>
      <c r="II44" s="137"/>
      <c r="IJ44" s="137"/>
      <c r="IK44" s="137"/>
      <c r="IL44" s="137"/>
      <c r="IM44" s="137"/>
      <c r="IN44" s="138"/>
      <c r="IO44" s="138">
        <f>SUM(HY44:IN44)</f>
        <v>518388.5</v>
      </c>
      <c r="IP44" s="38">
        <f>SUM(AB44,BJ44,CR44,DZ44,FH44,GP44,HX44)*(1+$E$10)^-12</f>
        <v>34977748.548035</v>
      </c>
      <c r="IQ44" s="142">
        <f>SUM(AC44:AG44,BK44:BO44,CS44:CW44,EA44:EE44,FI44:FM44,GQ44:GU44,HY44:IC44)*(1+$E$10)^-12</f>
        <v>4429989.852040073</v>
      </c>
      <c r="IR44" s="142">
        <f>SUM(AH44:AL44,BP44:BT44,CX44:DB44,EF44:EJ44,FN44:FR44,GV44:GZ44,ID44:IH44)*(1+$E$10)^-12</f>
        <v>2177793.1471071406</v>
      </c>
      <c r="IS44" s="196">
        <f>SUM(AS44,CA44,DI44,EQ44,FY44,HG44,IO44)*(1+$E$10)^-12</f>
        <v>6607782.999147212</v>
      </c>
      <c r="IT44" s="159">
        <f t="shared" si="43"/>
        <v>28369965.54888779</v>
      </c>
    </row>
    <row r="45" spans="1:254" ht="15.75">
      <c r="A45" s="9">
        <v>2008</v>
      </c>
      <c r="B45" s="49">
        <v>2015</v>
      </c>
      <c r="C45" s="31">
        <v>407</v>
      </c>
      <c r="D45" s="31">
        <v>148</v>
      </c>
      <c r="E45" s="31">
        <v>1924</v>
      </c>
      <c r="F45" s="31">
        <v>641</v>
      </c>
      <c r="G45" s="31">
        <v>279</v>
      </c>
      <c r="H45" s="31">
        <v>93</v>
      </c>
      <c r="I45" s="31">
        <v>142</v>
      </c>
      <c r="J45" s="84">
        <f t="shared" si="27"/>
        <v>3079</v>
      </c>
      <c r="K45" s="86">
        <f t="shared" si="28"/>
        <v>3634</v>
      </c>
      <c r="L45" s="84"/>
      <c r="M45" s="36">
        <f t="shared" si="13"/>
        <v>416990</v>
      </c>
      <c r="N45" s="36">
        <f t="shared" si="20"/>
        <v>457135</v>
      </c>
      <c r="O45" s="36">
        <f t="shared" si="29"/>
        <v>495985</v>
      </c>
      <c r="P45" s="36">
        <f t="shared" si="30"/>
        <v>402745</v>
      </c>
      <c r="Q45" s="36">
        <f t="shared" si="44"/>
        <v>168868</v>
      </c>
      <c r="R45" s="36">
        <f t="shared" si="51"/>
        <v>176120</v>
      </c>
      <c r="S45" s="36">
        <f t="shared" si="58"/>
        <v>184408</v>
      </c>
      <c r="T45" s="36">
        <f t="shared" si="65"/>
        <v>192696</v>
      </c>
      <c r="U45" s="36">
        <f t="shared" si="72"/>
        <v>201502</v>
      </c>
      <c r="V45" s="36">
        <f aca="true" t="shared" si="79" ref="V45:V54">$C$45*$F$26*0.1295</f>
        <v>210826</v>
      </c>
      <c r="W45" s="36"/>
      <c r="X45" s="36"/>
      <c r="Y45" s="36"/>
      <c r="Z45" s="36"/>
      <c r="AA45" s="47"/>
      <c r="AB45" s="78">
        <f t="shared" si="1"/>
        <v>2907275</v>
      </c>
      <c r="AC45" s="139"/>
      <c r="AD45" s="137">
        <f>$C$36*$S$21*$F$21*0.1295</f>
        <v>62548.5</v>
      </c>
      <c r="AE45" s="137">
        <f>$C$37*$R$21*$F$21*0.1295</f>
        <v>68570.25</v>
      </c>
      <c r="AF45" s="137">
        <f>$C$38*$Q$21*$F$21*0.1295</f>
        <v>74397.75</v>
      </c>
      <c r="AG45" s="137">
        <f>$C$39*$P$21*$F$21*0.1295</f>
        <v>60411.75</v>
      </c>
      <c r="AH45" s="137">
        <f>$C$40*$O$26*$F$26*0.1295</f>
        <v>67547.2</v>
      </c>
      <c r="AI45" s="137">
        <f>$C$41*$N$26*$F$26*0.1295</f>
        <v>70448</v>
      </c>
      <c r="AJ45" s="137">
        <f>$C$42*$M$26*$F$26*0.1295</f>
        <v>73763.2</v>
      </c>
      <c r="AK45" s="137">
        <f>$C$43*$L$26*$F$26*0.1295</f>
        <v>77078.40000000001</v>
      </c>
      <c r="AL45" s="137">
        <f>$C$44*$K$26*$F$26*0.1295</f>
        <v>80600.80000000002</v>
      </c>
      <c r="AM45" s="137">
        <f>$C$45*$J$26*$F$26*0.1295</f>
        <v>84330.40000000001</v>
      </c>
      <c r="AN45" s="137"/>
      <c r="AO45" s="137"/>
      <c r="AP45" s="137"/>
      <c r="AQ45" s="137"/>
      <c r="AR45" s="138"/>
      <c r="AS45" s="142">
        <f t="shared" si="2"/>
        <v>719696.2500000001</v>
      </c>
      <c r="AT45" s="143"/>
      <c r="AU45" s="36">
        <f t="shared" si="14"/>
        <v>378787.5</v>
      </c>
      <c r="AV45" s="36">
        <f t="shared" si="21"/>
        <v>270007.5</v>
      </c>
      <c r="AW45" s="36">
        <f t="shared" si="31"/>
        <v>163170</v>
      </c>
      <c r="AX45" s="36">
        <f t="shared" si="32"/>
        <v>240870</v>
      </c>
      <c r="AY45" s="36">
        <f t="shared" si="45"/>
        <v>74592</v>
      </c>
      <c r="AZ45" s="36">
        <f t="shared" si="52"/>
        <v>76923</v>
      </c>
      <c r="BA45" s="36">
        <f t="shared" si="59"/>
        <v>79254</v>
      </c>
      <c r="BB45" s="36">
        <f t="shared" si="66"/>
        <v>81585</v>
      </c>
      <c r="BC45" s="36">
        <f t="shared" si="73"/>
        <v>83916</v>
      </c>
      <c r="BD45" s="36">
        <f aca="true" t="shared" si="80" ref="BD45:BD54">$D$45*$F$27*0.1295</f>
        <v>86247</v>
      </c>
      <c r="BE45" s="36"/>
      <c r="BF45" s="36"/>
      <c r="BG45" s="36"/>
      <c r="BH45" s="36"/>
      <c r="BI45" s="47"/>
      <c r="BJ45" s="47">
        <f t="shared" si="4"/>
        <v>1535352</v>
      </c>
      <c r="BK45" s="139"/>
      <c r="BL45" s="137">
        <f>$D$36*$S$22*$F$22*0.1295</f>
        <v>56818.125</v>
      </c>
      <c r="BM45" s="137">
        <f>$D$37*$R$22*$F$22*0.1295</f>
        <v>40501.12499999999</v>
      </c>
      <c r="BN45" s="137">
        <f>$D$38*$Q$22*$F$22*0.1295</f>
        <v>24475.5</v>
      </c>
      <c r="BO45" s="137">
        <f>$D$39*$P$22*$F$22*0.1295</f>
        <v>36130.49999999999</v>
      </c>
      <c r="BP45" s="137">
        <f>$D$40*$O$27*$F$27*0.1295</f>
        <v>29836.8</v>
      </c>
      <c r="BQ45" s="137">
        <f>$D$41*$N$27*$F$27*0.1295</f>
        <v>30769.200000000004</v>
      </c>
      <c r="BR45" s="137">
        <f>$D$42*$M$27*$F$27*0.1295</f>
        <v>31701.600000000006</v>
      </c>
      <c r="BS45" s="137">
        <f>$D$43*$L$27*$F$27*0.1295</f>
        <v>32634</v>
      </c>
      <c r="BT45" s="137">
        <f>$D$44*$K$27*$F$27*0.1295</f>
        <v>33566.4</v>
      </c>
      <c r="BU45" s="137" t="s">
        <v>142</v>
      </c>
      <c r="BV45" s="137"/>
      <c r="BW45" s="137"/>
      <c r="BX45" s="137"/>
      <c r="BY45" s="137"/>
      <c r="BZ45" s="138"/>
      <c r="CA45" s="142">
        <f t="shared" si="5"/>
        <v>316433.25</v>
      </c>
      <c r="CB45" s="143"/>
      <c r="CC45" s="36">
        <f t="shared" si="15"/>
        <v>5736850</v>
      </c>
      <c r="CD45" s="36">
        <f t="shared" si="22"/>
        <v>4669770</v>
      </c>
      <c r="CE45" s="36">
        <f t="shared" si="33"/>
        <v>2846410</v>
      </c>
      <c r="CF45" s="36">
        <f t="shared" si="34"/>
        <v>3675210</v>
      </c>
      <c r="CG45" s="36">
        <f t="shared" si="46"/>
        <v>966717.5</v>
      </c>
      <c r="CH45" s="36">
        <f t="shared" si="53"/>
        <v>1017222.5</v>
      </c>
      <c r="CI45" s="36">
        <f t="shared" si="60"/>
        <v>1069670</v>
      </c>
      <c r="CJ45" s="36">
        <f t="shared" si="67"/>
        <v>1125355</v>
      </c>
      <c r="CK45" s="36">
        <f t="shared" si="74"/>
        <v>1184277.5</v>
      </c>
      <c r="CL45" s="36">
        <f aca="true" t="shared" si="81" ref="CL45:CL54">$E$45*$F$28*0.1295</f>
        <v>1245790</v>
      </c>
      <c r="CM45" s="36"/>
      <c r="CN45" s="36"/>
      <c r="CO45" s="36"/>
      <c r="CP45" s="36"/>
      <c r="CQ45" s="47"/>
      <c r="CR45" s="47">
        <f t="shared" si="7"/>
        <v>23537272.5</v>
      </c>
      <c r="CS45" s="139"/>
      <c r="CT45" s="137">
        <f>$E$36*$S$23*$F$23*0.1295</f>
        <v>860527.5</v>
      </c>
      <c r="CU45" s="137">
        <f>$E$37*$R$23*$F$23*0.1295</f>
        <v>700465.5</v>
      </c>
      <c r="CV45" s="137">
        <f>$E$38*$Q$23*$F$23*0.1295</f>
        <v>426961.5</v>
      </c>
      <c r="CW45" s="137">
        <f>$E$39*$P$23*$F$23*0.1295</f>
        <v>551281.5</v>
      </c>
      <c r="CX45" s="137">
        <f>$E$40*$O$28*$F$28*0.1295</f>
        <v>386687</v>
      </c>
      <c r="CY45" s="137">
        <f>$E$41*$N$28*$F$28*0.1295</f>
        <v>406889.00000000006</v>
      </c>
      <c r="CZ45" s="137">
        <f>$E$42*$M$28*$F$28*0.1295</f>
        <v>427868.00000000006</v>
      </c>
      <c r="DA45" s="137">
        <f>$E$43*$L$28*$F$28*0.1295</f>
        <v>450142</v>
      </c>
      <c r="DB45" s="137">
        <f>$E$44*$K$28*$F$28*0.1295</f>
        <v>473711</v>
      </c>
      <c r="DC45" s="137">
        <f>$E$45*$J$28*$F$28*0.1295</f>
        <v>498316</v>
      </c>
      <c r="DD45" s="137"/>
      <c r="DE45" s="137"/>
      <c r="DF45" s="137"/>
      <c r="DG45" s="137"/>
      <c r="DH45" s="138"/>
      <c r="DI45" s="142">
        <f t="shared" si="8"/>
        <v>5182849</v>
      </c>
      <c r="DJ45" s="143"/>
      <c r="DK45" s="36">
        <f t="shared" si="16"/>
        <v>1911420</v>
      </c>
      <c r="DL45" s="36">
        <f t="shared" si="23"/>
        <v>1556590</v>
      </c>
      <c r="DM45" s="36">
        <f t="shared" si="35"/>
        <v>947940</v>
      </c>
      <c r="DN45" s="36">
        <f t="shared" si="36"/>
        <v>1225070</v>
      </c>
      <c r="DO45" s="36">
        <f t="shared" si="47"/>
        <v>322455</v>
      </c>
      <c r="DP45" s="36">
        <f t="shared" si="54"/>
        <v>339290</v>
      </c>
      <c r="DQ45" s="36">
        <f t="shared" si="61"/>
        <v>356772.5</v>
      </c>
      <c r="DR45" s="36">
        <f t="shared" si="68"/>
        <v>374902.5</v>
      </c>
      <c r="DS45" s="36">
        <f t="shared" si="75"/>
        <v>394975</v>
      </c>
      <c r="DT45" s="36">
        <f aca="true" t="shared" si="82" ref="DT45:DT54">$F$45*$F$28*0.1295</f>
        <v>415047.5</v>
      </c>
      <c r="DU45" s="36"/>
      <c r="DV45" s="36"/>
      <c r="DW45" s="36"/>
      <c r="DX45" s="36"/>
      <c r="DY45" s="47"/>
      <c r="DZ45" s="78">
        <f>SUM(DJ45:DY45)</f>
        <v>7844462.5</v>
      </c>
      <c r="EA45" s="139"/>
      <c r="EB45" s="137">
        <f>$F$36*$S$23*$F$23*0.1295</f>
        <v>286713</v>
      </c>
      <c r="EC45" s="137">
        <f>$F$37*$R$23*$F$23*0.1295</f>
        <v>233488.49999999997</v>
      </c>
      <c r="ED45" s="137">
        <f>$F$38*$Q$23*$F$23*0.1295</f>
        <v>142191</v>
      </c>
      <c r="EE45" s="137">
        <f>$F$39*$P$23*$F$23*0.1295</f>
        <v>183760.5</v>
      </c>
      <c r="EF45" s="137">
        <f>$F$40*$O$28*$F$28*0.1295</f>
        <v>128982.00000000001</v>
      </c>
      <c r="EG45" s="137">
        <f>$F$41*$N$28*$F$28*0.1295</f>
        <v>135716.00000000003</v>
      </c>
      <c r="EH45" s="137">
        <f>$F$42*$M$28*$F$28*0.1295</f>
        <v>142709</v>
      </c>
      <c r="EI45" s="137">
        <f>$F$43*$L$28*$F$28*0.1295</f>
        <v>149961</v>
      </c>
      <c r="EJ45" s="137">
        <f>$F$44*$K$28*$F$28*0.1295</f>
        <v>157990</v>
      </c>
      <c r="EK45" s="137">
        <f>$F$45*$J$28*$F$28*0.1295</f>
        <v>166019.00000000003</v>
      </c>
      <c r="EL45" s="137"/>
      <c r="EM45" s="137"/>
      <c r="EN45" s="137"/>
      <c r="EO45" s="137"/>
      <c r="EP45" s="138"/>
      <c r="EQ45" s="142">
        <f>SUM(EA45:EP45)</f>
        <v>1727530</v>
      </c>
      <c r="ER45" s="143"/>
      <c r="ES45" s="36">
        <f t="shared" si="17"/>
        <v>124320</v>
      </c>
      <c r="ET45" s="36">
        <f t="shared" si="24"/>
        <v>192696</v>
      </c>
      <c r="EU45" s="36">
        <f t="shared" si="37"/>
        <v>220668</v>
      </c>
      <c r="EV45" s="36">
        <f t="shared" si="38"/>
        <v>242424</v>
      </c>
      <c r="EW45" s="36">
        <f t="shared" si="48"/>
        <v>111370</v>
      </c>
      <c r="EX45" s="36">
        <f t="shared" si="55"/>
        <v>122377.5</v>
      </c>
      <c r="EY45" s="36">
        <f t="shared" si="62"/>
        <v>135327.5</v>
      </c>
      <c r="EZ45" s="36">
        <f t="shared" si="69"/>
        <v>148925</v>
      </c>
      <c r="FA45" s="36">
        <f t="shared" si="76"/>
        <v>164465</v>
      </c>
      <c r="FB45" s="36">
        <f aca="true" t="shared" si="83" ref="FB45:FB54">$G$45*$F$29*0.1295</f>
        <v>180652.5</v>
      </c>
      <c r="FC45" s="36"/>
      <c r="FD45" s="36"/>
      <c r="FE45" s="36"/>
      <c r="FF45" s="36"/>
      <c r="FG45" s="47"/>
      <c r="FH45" s="78">
        <f>SUM(ER45:FG45)</f>
        <v>1643225.5</v>
      </c>
      <c r="FI45" s="139"/>
      <c r="FJ45" s="137">
        <f>$G$36*$S$24*$F$24*0.1295</f>
        <v>18648</v>
      </c>
      <c r="FK45" s="137">
        <f>$G$37*$R$24*$F$24*0.1295</f>
        <v>28904.399999999998</v>
      </c>
      <c r="FL45" s="137">
        <f>$G$38*$Q$24*$F$24*0.1295</f>
        <v>33100.200000000004</v>
      </c>
      <c r="FM45" s="137">
        <f>$G$39*$P$24*$F$24*0.1295</f>
        <v>36363.6</v>
      </c>
      <c r="FN45" s="137">
        <f>$G$40*$O$29*$F$29*0.1295</f>
        <v>44548</v>
      </c>
      <c r="FO45" s="137">
        <f>$G$41*$N$29*$F$29*0.1295</f>
        <v>48951.00000000001</v>
      </c>
      <c r="FP45" s="137">
        <f>$G$42*$M$29*$F$29*0.1295</f>
        <v>54131.00000000001</v>
      </c>
      <c r="FQ45" s="137">
        <f>$G$43*$L$29*$F$29*0.1295</f>
        <v>59570</v>
      </c>
      <c r="FR45" s="137">
        <f>$G$44*$K$29*$F$29*0.1295</f>
        <v>65786.00000000001</v>
      </c>
      <c r="FS45" s="137">
        <f>$G$45*$J$29*$F$29*0.1295</f>
        <v>72261</v>
      </c>
      <c r="FT45" s="137"/>
      <c r="FU45" s="137"/>
      <c r="FV45" s="137"/>
      <c r="FW45" s="137"/>
      <c r="FX45" s="138"/>
      <c r="FY45" s="142">
        <f>SUM(FI45:FX45)</f>
        <v>462263.2</v>
      </c>
      <c r="FZ45" s="143"/>
      <c r="GA45" s="36">
        <f t="shared" si="18"/>
        <v>41958</v>
      </c>
      <c r="GB45" s="36">
        <f t="shared" si="25"/>
        <v>63714</v>
      </c>
      <c r="GC45" s="36">
        <f t="shared" si="39"/>
        <v>73038</v>
      </c>
      <c r="GD45" s="36">
        <f t="shared" si="40"/>
        <v>80808</v>
      </c>
      <c r="GE45" s="36">
        <f t="shared" si="49"/>
        <v>36907.5</v>
      </c>
      <c r="GF45" s="36">
        <f t="shared" si="56"/>
        <v>40792.5</v>
      </c>
      <c r="GG45" s="36">
        <f t="shared" si="63"/>
        <v>45325</v>
      </c>
      <c r="GH45" s="36">
        <f t="shared" si="70"/>
        <v>49857.5</v>
      </c>
      <c r="GI45" s="36">
        <f t="shared" si="77"/>
        <v>55037.5</v>
      </c>
      <c r="GJ45" s="36">
        <f aca="true" t="shared" si="84" ref="GJ45:GJ54">$H$45*$F$29*0.1295</f>
        <v>60217.5</v>
      </c>
      <c r="GK45" s="36"/>
      <c r="GL45" s="36"/>
      <c r="GM45" s="36"/>
      <c r="GN45" s="36"/>
      <c r="GO45" s="47"/>
      <c r="GP45" s="47">
        <f>SUM(FZ45:GO45)</f>
        <v>547655.5</v>
      </c>
      <c r="GQ45" s="139"/>
      <c r="GR45" s="137">
        <f>$H$36*$S$24*$F$24*0.1295</f>
        <v>6293.7</v>
      </c>
      <c r="GS45" s="137">
        <f>$H$37*$R$24*$F$24*0.1295</f>
        <v>9557.1</v>
      </c>
      <c r="GT45" s="137">
        <f>$H$38*$Q$24*$F$24*0.1295</f>
        <v>10955.7</v>
      </c>
      <c r="GU45" s="137">
        <f>$H$39*$P$24*$F$24*0.1295</f>
        <v>12121.2</v>
      </c>
      <c r="GV45" s="137">
        <f>$H$40*$O$29*$F$29*0.1295</f>
        <v>14763</v>
      </c>
      <c r="GW45" s="137">
        <f>$H$41*$N$29*$F$29*0.1295</f>
        <v>16317.000000000002</v>
      </c>
      <c r="GX45" s="137">
        <f>$H$42*$M$29*$F$29*0.1295</f>
        <v>18130</v>
      </c>
      <c r="GY45" s="137">
        <f>$H$43*$L$29*$F$29*0.1295</f>
        <v>19943</v>
      </c>
      <c r="GZ45" s="137">
        <f>$H$44*$K$29*$F$29*0.1295</f>
        <v>22015</v>
      </c>
      <c r="HA45" s="137">
        <f>$H$45*$J$29*$F$29*0.1295</f>
        <v>24087</v>
      </c>
      <c r="HB45" s="137"/>
      <c r="HC45" s="137"/>
      <c r="HD45" s="137"/>
      <c r="HE45" s="137"/>
      <c r="HF45" s="138"/>
      <c r="HG45" s="142">
        <f>SUM(GQ45:HF45)</f>
        <v>154182.7</v>
      </c>
      <c r="HH45" s="143"/>
      <c r="HI45" s="81">
        <f t="shared" si="19"/>
        <v>230510</v>
      </c>
      <c r="HJ45" s="81">
        <f t="shared" si="26"/>
        <v>243460</v>
      </c>
      <c r="HK45" s="81">
        <f t="shared" si="41"/>
        <v>259000</v>
      </c>
      <c r="HL45" s="36">
        <f t="shared" si="42"/>
        <v>271950</v>
      </c>
      <c r="HM45" s="36">
        <f t="shared" si="50"/>
        <v>71225</v>
      </c>
      <c r="HN45" s="36">
        <f t="shared" si="57"/>
        <v>75110</v>
      </c>
      <c r="HO45" s="36">
        <f t="shared" si="64"/>
        <v>78995</v>
      </c>
      <c r="HP45" s="36">
        <f t="shared" si="71"/>
        <v>82880</v>
      </c>
      <c r="HQ45" s="36">
        <f t="shared" si="78"/>
        <v>87412.5</v>
      </c>
      <c r="HR45" s="36">
        <f aca="true" t="shared" si="85" ref="HR45:HR54">$I$45*$F$28*0.1295</f>
        <v>91945</v>
      </c>
      <c r="HS45" s="36"/>
      <c r="HT45" s="36"/>
      <c r="HU45" s="36"/>
      <c r="HV45" s="36"/>
      <c r="HW45" s="36"/>
      <c r="HX45" s="47">
        <f>SUM(HH45:HW45)</f>
        <v>1492487.5</v>
      </c>
      <c r="HY45" s="137"/>
      <c r="HZ45" s="139">
        <f>$I$36*$S$23*$F$23*0.1295</f>
        <v>34576.5</v>
      </c>
      <c r="IA45" s="139">
        <f>$I$37*$R$23*$F$23*0.1295</f>
        <v>36519</v>
      </c>
      <c r="IB45" s="139">
        <f>$I$38*$Q$23*$F$23*0.1295</f>
        <v>38850</v>
      </c>
      <c r="IC45" s="137">
        <f>$I$39*$P$23*$F$23*0.1295</f>
        <v>40792.5</v>
      </c>
      <c r="ID45" s="137">
        <f>$I$40*$O$28*$F$28*0.1295</f>
        <v>28490</v>
      </c>
      <c r="IE45" s="137">
        <f>$I$41*$N$28*$F$28*0.1295</f>
        <v>30044.000000000004</v>
      </c>
      <c r="IF45" s="137">
        <f>$I$42*$M$28*$F$28*0.1295</f>
        <v>31598.000000000004</v>
      </c>
      <c r="IG45" s="137">
        <f>$I$43*$L$28*$F$28*0.1295</f>
        <v>33152</v>
      </c>
      <c r="IH45" s="137">
        <f>$I$44*$K$28*$F$28*0.1295</f>
        <v>34965</v>
      </c>
      <c r="II45" s="137">
        <f>$I$45*$J$28*$F$28*0.1295</f>
        <v>36778</v>
      </c>
      <c r="IJ45" s="137"/>
      <c r="IK45" s="137"/>
      <c r="IL45" s="137"/>
      <c r="IM45" s="137"/>
      <c r="IN45" s="138"/>
      <c r="IO45" s="138">
        <f>SUM(HY45:IN45)</f>
        <v>345765</v>
      </c>
      <c r="IP45" s="38">
        <f>SUM(AB45,BJ45,CR45,DZ45,FH45,GP45,HX45)*(1+$E$10)^-13</f>
        <v>20951792.9996903</v>
      </c>
      <c r="IQ45" s="142">
        <f>SUM(AD45:AG45,BL45:BO45,CT45:CW45,EB45:EE45,FJ45:FM45,GR45:GU45,HZ45:IC45)*(1+$E$10)^-13</f>
        <v>2182762.586961924</v>
      </c>
      <c r="IR45" s="142">
        <f>SUM(AH45:AM45,BP45:BU45,CX45:DC45,EF45:EK45,FN45:FS45,GV45:HA45,ID45:II45)*(1+$E$10)^-13</f>
        <v>2541721.5177660147</v>
      </c>
      <c r="IS45" s="196">
        <f>SUM(AS45,CA45,DI45,EQ45,FY45,HG45,IO45)*(1+$E$10)^-13</f>
        <v>4724484.104727938</v>
      </c>
      <c r="IT45" s="159">
        <f t="shared" si="43"/>
        <v>16227308.894962363</v>
      </c>
    </row>
    <row r="46" spans="1:254" ht="15.75">
      <c r="A46" s="9">
        <v>2009</v>
      </c>
      <c r="B46" s="49">
        <v>2016</v>
      </c>
      <c r="C46" s="31">
        <v>426</v>
      </c>
      <c r="D46" s="31">
        <v>153</v>
      </c>
      <c r="E46" s="31">
        <v>2024</v>
      </c>
      <c r="F46" s="31">
        <v>675</v>
      </c>
      <c r="G46" s="31">
        <v>308</v>
      </c>
      <c r="H46" s="31">
        <v>103</v>
      </c>
      <c r="I46" s="31">
        <v>149</v>
      </c>
      <c r="J46" s="84">
        <f t="shared" si="27"/>
        <v>3259</v>
      </c>
      <c r="K46" s="86">
        <f t="shared" si="28"/>
        <v>3838</v>
      </c>
      <c r="L46" s="84"/>
      <c r="M46" s="84"/>
      <c r="N46" s="36">
        <f t="shared" si="20"/>
        <v>457135</v>
      </c>
      <c r="O46" s="36">
        <f t="shared" si="29"/>
        <v>495985</v>
      </c>
      <c r="P46" s="36">
        <f t="shared" si="30"/>
        <v>402745</v>
      </c>
      <c r="Q46" s="36">
        <f t="shared" si="44"/>
        <v>168868</v>
      </c>
      <c r="R46" s="36">
        <f t="shared" si="51"/>
        <v>176120</v>
      </c>
      <c r="S46" s="36">
        <f t="shared" si="58"/>
        <v>184408</v>
      </c>
      <c r="T46" s="36">
        <f t="shared" si="65"/>
        <v>192696</v>
      </c>
      <c r="U46" s="36">
        <f t="shared" si="72"/>
        <v>201502</v>
      </c>
      <c r="V46" s="36">
        <f t="shared" si="79"/>
        <v>210826</v>
      </c>
      <c r="W46" s="36">
        <f aca="true" t="shared" si="86" ref="W46:W55">$C$46*$F$26*0.1295</f>
        <v>220668</v>
      </c>
      <c r="X46" s="36"/>
      <c r="Y46" s="36"/>
      <c r="Z46" s="36"/>
      <c r="AA46" s="47"/>
      <c r="AB46" s="78">
        <f t="shared" si="1"/>
        <v>2710953</v>
      </c>
      <c r="AC46" s="139"/>
      <c r="AD46" s="139"/>
      <c r="AE46" s="137">
        <f>$C$37*$S$21*$F$21*0.1295</f>
        <v>68570.25</v>
      </c>
      <c r="AF46" s="137">
        <f>$C$38*$R$21*$F$21*0.1295</f>
        <v>74397.75</v>
      </c>
      <c r="AG46" s="137">
        <f>$C$39*$Q$21*$F$21*0.1295</f>
        <v>60411.75</v>
      </c>
      <c r="AH46" s="137">
        <f>$C$40*$P$26*$F$26*0.1295</f>
        <v>67547.2</v>
      </c>
      <c r="AI46" s="137">
        <f>$C$41*$O$26*$F$26*0.1295</f>
        <v>70448</v>
      </c>
      <c r="AJ46" s="137">
        <f>$C$42*$N$26*$F$26*0.1295</f>
        <v>73763.2</v>
      </c>
      <c r="AK46" s="137">
        <f>$C$43*$M$26*$F$26*0.1295</f>
        <v>77078.40000000001</v>
      </c>
      <c r="AL46" s="137">
        <f>$C$44*$L$26*$F$26*0.1295</f>
        <v>80600.80000000002</v>
      </c>
      <c r="AM46" s="137">
        <f>$C$45*$K$26*$F$26*0.1295</f>
        <v>84330.40000000001</v>
      </c>
      <c r="AN46" s="137">
        <f>$C$46*$J$26*$F$26*0.1295</f>
        <v>88267.2</v>
      </c>
      <c r="AO46" s="137"/>
      <c r="AP46" s="137"/>
      <c r="AQ46" s="137"/>
      <c r="AR46" s="138"/>
      <c r="AS46" s="142">
        <f t="shared" si="2"/>
        <v>745414.9500000001</v>
      </c>
      <c r="AT46" s="143"/>
      <c r="AU46" s="143"/>
      <c r="AV46" s="36">
        <f t="shared" si="21"/>
        <v>270007.5</v>
      </c>
      <c r="AW46" s="36">
        <f t="shared" si="31"/>
        <v>163170</v>
      </c>
      <c r="AX46" s="36">
        <f t="shared" si="32"/>
        <v>240870</v>
      </c>
      <c r="AY46" s="36">
        <f t="shared" si="45"/>
        <v>74592</v>
      </c>
      <c r="AZ46" s="36">
        <f t="shared" si="52"/>
        <v>76923</v>
      </c>
      <c r="BA46" s="36">
        <f t="shared" si="59"/>
        <v>79254</v>
      </c>
      <c r="BB46" s="36">
        <f t="shared" si="66"/>
        <v>81585</v>
      </c>
      <c r="BC46" s="36">
        <f t="shared" si="73"/>
        <v>83916</v>
      </c>
      <c r="BD46" s="36">
        <f t="shared" si="80"/>
        <v>86247</v>
      </c>
      <c r="BE46" s="36">
        <f aca="true" t="shared" si="87" ref="BE46:BE55">$D$46*$F$27*0.1295</f>
        <v>89160.75</v>
      </c>
      <c r="BF46" s="36"/>
      <c r="BG46" s="36"/>
      <c r="BH46" s="36"/>
      <c r="BI46" s="47"/>
      <c r="BJ46" s="47">
        <f t="shared" si="4"/>
        <v>1245725.25</v>
      </c>
      <c r="BK46" s="139"/>
      <c r="BL46" s="139"/>
      <c r="BM46" s="137">
        <f>$D$37*$S$22*$F$22*0.1295</f>
        <v>40501.12499999999</v>
      </c>
      <c r="BN46" s="137">
        <f>$D$38*$R$22*$F$22*0.1295</f>
        <v>24475.5</v>
      </c>
      <c r="BO46" s="137">
        <f>$D$39*$Q$22*$F$22*0.1295</f>
        <v>36130.49999999999</v>
      </c>
      <c r="BP46" s="137">
        <f>$D$40*$P$27*$F$27*0.1295</f>
        <v>29836.8</v>
      </c>
      <c r="BQ46" s="137">
        <f>$D$41*$O$27*$F$27*0.1295</f>
        <v>30769.200000000004</v>
      </c>
      <c r="BR46" s="137">
        <f>$D$42*$N$27*$F$27*0.1295</f>
        <v>31701.600000000006</v>
      </c>
      <c r="BS46" s="137">
        <f>$D$43*$M$27*$F$27*0.1295</f>
        <v>32634</v>
      </c>
      <c r="BT46" s="137">
        <f>$D$44*$L$27*$F$27*0.1295</f>
        <v>33566.4</v>
      </c>
      <c r="BU46" s="137">
        <f>$D$45*$K$27*$F$27*0.1295</f>
        <v>34498.8</v>
      </c>
      <c r="BV46" s="137">
        <f>$D$46*$J$27*$F$27*0.1295</f>
        <v>35664.3</v>
      </c>
      <c r="BW46" s="137"/>
      <c r="BX46" s="137"/>
      <c r="BY46" s="137"/>
      <c r="BZ46" s="138"/>
      <c r="CA46" s="142">
        <f t="shared" si="5"/>
        <v>329778.225</v>
      </c>
      <c r="CB46" s="143"/>
      <c r="CC46" s="143"/>
      <c r="CD46" s="36">
        <f t="shared" si="22"/>
        <v>4669770</v>
      </c>
      <c r="CE46" s="36">
        <f t="shared" si="33"/>
        <v>2846410</v>
      </c>
      <c r="CF46" s="36">
        <f t="shared" si="34"/>
        <v>3675210</v>
      </c>
      <c r="CG46" s="36">
        <f t="shared" si="46"/>
        <v>966717.5</v>
      </c>
      <c r="CH46" s="36">
        <f t="shared" si="53"/>
        <v>1017222.5</v>
      </c>
      <c r="CI46" s="36">
        <f t="shared" si="60"/>
        <v>1069670</v>
      </c>
      <c r="CJ46" s="36">
        <f t="shared" si="67"/>
        <v>1125355</v>
      </c>
      <c r="CK46" s="36">
        <f t="shared" si="74"/>
        <v>1184277.5</v>
      </c>
      <c r="CL46" s="36">
        <f t="shared" si="81"/>
        <v>1245790</v>
      </c>
      <c r="CM46" s="36">
        <f aca="true" t="shared" si="88" ref="CM46:CM55">$E$46*$F$28*0.1295</f>
        <v>1310540</v>
      </c>
      <c r="CN46" s="36"/>
      <c r="CO46" s="36"/>
      <c r="CP46" s="36"/>
      <c r="CQ46" s="47"/>
      <c r="CR46" s="47">
        <f t="shared" si="7"/>
        <v>19110962.5</v>
      </c>
      <c r="CS46" s="139"/>
      <c r="CT46" s="139"/>
      <c r="CU46" s="137">
        <f>$E$37*$S$23*$F$23*0.1295</f>
        <v>700465.5</v>
      </c>
      <c r="CV46" s="137">
        <f>$E$38*$R$23*$F$23*0.1295</f>
        <v>426961.5</v>
      </c>
      <c r="CW46" s="137">
        <f>$E$39*$Q$23*$F$23*0.1295</f>
        <v>551281.5</v>
      </c>
      <c r="CX46" s="137">
        <f>$E$40*$P$28*$F$28*0.1295</f>
        <v>386687</v>
      </c>
      <c r="CY46" s="137">
        <f>$E$41*$O$28*$F$28*0.1295</f>
        <v>406889.00000000006</v>
      </c>
      <c r="CZ46" s="137">
        <f>$E$42*$N$28*$F$28*0.1295</f>
        <v>427868.00000000006</v>
      </c>
      <c r="DA46" s="137">
        <f>$E$43*$M$28*$F$28*0.1295</f>
        <v>450142</v>
      </c>
      <c r="DB46" s="137">
        <f>$E$44*$L$28*$F$28*0.1295</f>
        <v>473711</v>
      </c>
      <c r="DC46" s="137">
        <f>$E$45*$K$28*$F$28*0.1295</f>
        <v>498316</v>
      </c>
      <c r="DD46" s="137">
        <f>$E$46*$J$28*$F$28*0.1295</f>
        <v>524216</v>
      </c>
      <c r="DE46" s="137"/>
      <c r="DF46" s="137"/>
      <c r="DG46" s="137"/>
      <c r="DH46" s="138"/>
      <c r="DI46" s="142">
        <f t="shared" si="8"/>
        <v>4846537.5</v>
      </c>
      <c r="DJ46" s="143"/>
      <c r="DK46" s="143"/>
      <c r="DL46" s="36">
        <f t="shared" si="23"/>
        <v>1556590</v>
      </c>
      <c r="DM46" s="36">
        <f t="shared" si="35"/>
        <v>947940</v>
      </c>
      <c r="DN46" s="36">
        <f t="shared" si="36"/>
        <v>1225070</v>
      </c>
      <c r="DO46" s="36">
        <f t="shared" si="47"/>
        <v>322455</v>
      </c>
      <c r="DP46" s="36">
        <f t="shared" si="54"/>
        <v>339290</v>
      </c>
      <c r="DQ46" s="36">
        <f t="shared" si="61"/>
        <v>356772.5</v>
      </c>
      <c r="DR46" s="36">
        <f t="shared" si="68"/>
        <v>374902.5</v>
      </c>
      <c r="DS46" s="36">
        <f t="shared" si="75"/>
        <v>394975</v>
      </c>
      <c r="DT46" s="36">
        <f t="shared" si="82"/>
        <v>415047.5</v>
      </c>
      <c r="DU46" s="36">
        <f aca="true" t="shared" si="89" ref="DU46:DU55">$F$46*$F$28*0.1295</f>
        <v>437062.5</v>
      </c>
      <c r="DV46" s="36"/>
      <c r="DW46" s="36"/>
      <c r="DX46" s="36"/>
      <c r="DY46" s="47"/>
      <c r="DZ46" s="78">
        <f>SUM(DJ46:DY46)</f>
        <v>6370105</v>
      </c>
      <c r="EA46" s="139"/>
      <c r="EB46" s="139"/>
      <c r="EC46" s="137">
        <f>$F$37*$S$23*$F$23*0.1295</f>
        <v>233488.49999999997</v>
      </c>
      <c r="ED46" s="137">
        <f>$F$38*$R$23*$F$23*0.1295</f>
        <v>142191</v>
      </c>
      <c r="EE46" s="137">
        <f>$F$39*$Q$23*$F$23*0.1295</f>
        <v>183760.5</v>
      </c>
      <c r="EF46" s="137">
        <f>$F$40*$P$28*$F$28*0.1295</f>
        <v>128982.00000000001</v>
      </c>
      <c r="EG46" s="137">
        <f>$F$41*$O$28*$F$28*0.1295</f>
        <v>135716.00000000003</v>
      </c>
      <c r="EH46" s="137">
        <f>$F$42*$N$28*$F$28*0.1295</f>
        <v>142709</v>
      </c>
      <c r="EI46" s="137">
        <f>$F$43*$M$28*$F$28*0.1295</f>
        <v>149961</v>
      </c>
      <c r="EJ46" s="137">
        <f>$F$44*$L$28*$F$28*0.1295</f>
        <v>157990</v>
      </c>
      <c r="EK46" s="137">
        <f>$F$45*$K$28*$F$28*0.1295</f>
        <v>166019.00000000003</v>
      </c>
      <c r="EL46" s="137">
        <f>$F$46*$J$28*$F$28*0.1295</f>
        <v>174825</v>
      </c>
      <c r="EM46" s="137"/>
      <c r="EN46" s="137"/>
      <c r="EO46" s="137"/>
      <c r="EP46" s="138"/>
      <c r="EQ46" s="142">
        <f>SUM(EA46:EP46)</f>
        <v>1615642</v>
      </c>
      <c r="ER46" s="143"/>
      <c r="ES46" s="143"/>
      <c r="ET46" s="36">
        <f t="shared" si="24"/>
        <v>192696</v>
      </c>
      <c r="EU46" s="36">
        <f t="shared" si="37"/>
        <v>220668</v>
      </c>
      <c r="EV46" s="36">
        <f t="shared" si="38"/>
        <v>242424</v>
      </c>
      <c r="EW46" s="36">
        <f t="shared" si="48"/>
        <v>111370</v>
      </c>
      <c r="EX46" s="36">
        <f t="shared" si="55"/>
        <v>122377.5</v>
      </c>
      <c r="EY46" s="36">
        <f t="shared" si="62"/>
        <v>135327.5</v>
      </c>
      <c r="EZ46" s="36">
        <f t="shared" si="69"/>
        <v>148925</v>
      </c>
      <c r="FA46" s="36">
        <f t="shared" si="76"/>
        <v>164465</v>
      </c>
      <c r="FB46" s="36">
        <f t="shared" si="83"/>
        <v>180652.5</v>
      </c>
      <c r="FC46" s="36">
        <f aca="true" t="shared" si="90" ref="FC46:FC55">$G$46*$F$29*0.1295</f>
        <v>199430</v>
      </c>
      <c r="FD46" s="36"/>
      <c r="FE46" s="36"/>
      <c r="FF46" s="36"/>
      <c r="FG46" s="47"/>
      <c r="FH46" s="78">
        <f>SUM(ER46:FG46)</f>
        <v>1718335.5</v>
      </c>
      <c r="FI46" s="139"/>
      <c r="FJ46" s="139"/>
      <c r="FK46" s="137">
        <f>$G$37*$S$24*$F$24*0.1295</f>
        <v>28904.399999999998</v>
      </c>
      <c r="FL46" s="137">
        <f>$G$38*$R$24*$F$24*0.1295</f>
        <v>33100.200000000004</v>
      </c>
      <c r="FM46" s="137">
        <f>$G$39*$Q$24*$F$24*0.1295</f>
        <v>36363.6</v>
      </c>
      <c r="FN46" s="137">
        <f>$G$40*$P$29*$F$29*0.1295</f>
        <v>44548</v>
      </c>
      <c r="FO46" s="137">
        <f>$G$41*$O$29*$F$29*0.1295</f>
        <v>48951.00000000001</v>
      </c>
      <c r="FP46" s="137">
        <f>$G$42*$N$29*$F$29*0.1295</f>
        <v>54131.00000000001</v>
      </c>
      <c r="FQ46" s="137">
        <f>$G$43*$M$29*$F$29*0.1295</f>
        <v>59570</v>
      </c>
      <c r="FR46" s="137">
        <f>$G$44*$L$29*$F$29*0.1295</f>
        <v>65786.00000000001</v>
      </c>
      <c r="FS46" s="137">
        <f>$G$45*$K$29*$F$29*0.1295</f>
        <v>72261</v>
      </c>
      <c r="FT46" s="137">
        <f>$G$46*$J$29*$F$29*0.1295</f>
        <v>79772</v>
      </c>
      <c r="FU46" s="137"/>
      <c r="FV46" s="137"/>
      <c r="FW46" s="137"/>
      <c r="FX46" s="138"/>
      <c r="FY46" s="142">
        <f>SUM(FI46:FX46)</f>
        <v>523387.2</v>
      </c>
      <c r="FZ46" s="143"/>
      <c r="GA46" s="143"/>
      <c r="GB46" s="36">
        <f t="shared" si="25"/>
        <v>63714</v>
      </c>
      <c r="GC46" s="36">
        <f t="shared" si="39"/>
        <v>73038</v>
      </c>
      <c r="GD46" s="36">
        <f t="shared" si="40"/>
        <v>80808</v>
      </c>
      <c r="GE46" s="36">
        <f t="shared" si="49"/>
        <v>36907.5</v>
      </c>
      <c r="GF46" s="36">
        <f t="shared" si="56"/>
        <v>40792.5</v>
      </c>
      <c r="GG46" s="36">
        <f t="shared" si="63"/>
        <v>45325</v>
      </c>
      <c r="GH46" s="36">
        <f t="shared" si="70"/>
        <v>49857.5</v>
      </c>
      <c r="GI46" s="36">
        <f t="shared" si="77"/>
        <v>55037.5</v>
      </c>
      <c r="GJ46" s="36">
        <f t="shared" si="84"/>
        <v>60217.5</v>
      </c>
      <c r="GK46" s="36">
        <f aca="true" t="shared" si="91" ref="GK46:GK55">$H$46*$F$29*0.1295</f>
        <v>66692.5</v>
      </c>
      <c r="GL46" s="36"/>
      <c r="GM46" s="36"/>
      <c r="GN46" s="36"/>
      <c r="GO46" s="47"/>
      <c r="GP46" s="47">
        <f>SUM(FZ46:GO46)</f>
        <v>572390</v>
      </c>
      <c r="GQ46" s="139"/>
      <c r="GR46" s="139"/>
      <c r="GS46" s="137">
        <f>$H$37*$S$24*$F$24*0.1295</f>
        <v>9557.1</v>
      </c>
      <c r="GT46" s="137">
        <f>$H$38*$R$24*$F$24*0.1295</f>
        <v>10955.7</v>
      </c>
      <c r="GU46" s="137">
        <f>$H$39*$Q$24*$F$24*0.1295</f>
        <v>12121.2</v>
      </c>
      <c r="GV46" s="137">
        <f>$H$40*$P$29*$F$29*0.1295</f>
        <v>14763</v>
      </c>
      <c r="GW46" s="137">
        <f>$H$41*$O$29*$F$29*0.1295</f>
        <v>16317.000000000002</v>
      </c>
      <c r="GX46" s="137">
        <f>$H$42*$N$29*$F$29*0.1295</f>
        <v>18130</v>
      </c>
      <c r="GY46" s="137">
        <f>$H$43*$M$29*$F$29*0.1295</f>
        <v>19943</v>
      </c>
      <c r="GZ46" s="137">
        <f>$H$44*$L$29*$F$29*0.1295</f>
        <v>22015</v>
      </c>
      <c r="HA46" s="137">
        <f>$H$45*$K$29*$F$29*0.1295</f>
        <v>24087</v>
      </c>
      <c r="HB46" s="137">
        <f>$H$46*$J$29*$F$29*0.1295</f>
        <v>26677</v>
      </c>
      <c r="HC46" s="137"/>
      <c r="HD46" s="137"/>
      <c r="HE46" s="137"/>
      <c r="HF46" s="138"/>
      <c r="HG46" s="142">
        <f>SUM(GQ46:HF46)</f>
        <v>174566</v>
      </c>
      <c r="HH46" s="143"/>
      <c r="HI46" s="143"/>
      <c r="HJ46" s="81">
        <f t="shared" si="26"/>
        <v>243460</v>
      </c>
      <c r="HK46" s="81">
        <f t="shared" si="41"/>
        <v>259000</v>
      </c>
      <c r="HL46" s="36">
        <f t="shared" si="42"/>
        <v>271950</v>
      </c>
      <c r="HM46" s="36">
        <f t="shared" si="50"/>
        <v>71225</v>
      </c>
      <c r="HN46" s="36">
        <f t="shared" si="57"/>
        <v>75110</v>
      </c>
      <c r="HO46" s="36">
        <f t="shared" si="64"/>
        <v>78995</v>
      </c>
      <c r="HP46" s="36">
        <f t="shared" si="71"/>
        <v>82880</v>
      </c>
      <c r="HQ46" s="36">
        <f t="shared" si="78"/>
        <v>87412.5</v>
      </c>
      <c r="HR46" s="36">
        <f t="shared" si="85"/>
        <v>91945</v>
      </c>
      <c r="HS46" s="36">
        <f aca="true" t="shared" si="92" ref="HS46:HS55">$I$46*$F$28*0.1295</f>
        <v>96477.5</v>
      </c>
      <c r="HT46" s="36"/>
      <c r="HU46" s="36"/>
      <c r="HV46" s="36"/>
      <c r="HW46" s="36"/>
      <c r="HX46" s="47">
        <f>SUM(HH46:HW46)</f>
        <v>1358455</v>
      </c>
      <c r="HY46" s="137"/>
      <c r="HZ46" s="137"/>
      <c r="IA46" s="139">
        <f>$I$37*$S$23*$F$23*0.1295</f>
        <v>36519</v>
      </c>
      <c r="IB46" s="139">
        <f>$I$38*$R$23*$F$23*0.1295</f>
        <v>38850</v>
      </c>
      <c r="IC46" s="137">
        <f>$I$39*$Q$23*$F$23*0.1295</f>
        <v>40792.5</v>
      </c>
      <c r="ID46" s="137">
        <f>$I$40*$P$28*$F$28*0.1295</f>
        <v>28490</v>
      </c>
      <c r="IE46" s="137">
        <f>$I$41*$O$28*$F$28*0.1295</f>
        <v>30044.000000000004</v>
      </c>
      <c r="IF46" s="137">
        <f>$I$42*$N$28*$F$28*0.1295</f>
        <v>31598.000000000004</v>
      </c>
      <c r="IG46" s="137">
        <f>$I$43*$M$28*$F$28*0.1295</f>
        <v>33152</v>
      </c>
      <c r="IH46" s="137">
        <f>$I$44*$L$28*$F$28*0.1295</f>
        <v>34965</v>
      </c>
      <c r="II46" s="137">
        <f>$I$45*$K$28*$F$28*0.1295</f>
        <v>36778</v>
      </c>
      <c r="IJ46" s="137">
        <f>$I$46*$J$28*$F$28*0.1295</f>
        <v>38591</v>
      </c>
      <c r="IK46" s="137"/>
      <c r="IL46" s="137"/>
      <c r="IM46" s="137"/>
      <c r="IN46" s="138"/>
      <c r="IO46" s="138">
        <f>SUM(HY46:IN46)</f>
        <v>349779.5</v>
      </c>
      <c r="IP46" s="38">
        <f>SUM(AB46,BJ46,CR46,DZ46,FH46,GP46,HX46)*(1+$E$10)^-14</f>
        <v>16711146.1120012</v>
      </c>
      <c r="IQ46" s="142">
        <f>SUM(AE46:AG46,BM46:BO46,CU46:CW46,EC46:EE46,FK46:FM46,GS46:GU46,IA46:IC46)*(1+$E$10)^-14</f>
        <v>1409038.1080790423</v>
      </c>
      <c r="IR46" s="142">
        <f>SUM(AH46:AN46,BP46:BV46,CX46:DD46,EF46:EL46,FN46:FT46,GV46:HB46,ID46:IJ46)*(1+$E$10)^-14</f>
        <v>2927023.489923035</v>
      </c>
      <c r="IS46" s="196">
        <f>SUM(AS46,CA46,DI46,EQ46,FY46,HG46,IO46)*(1+$E$10)^-14</f>
        <v>4336061.598002076</v>
      </c>
      <c r="IT46" s="159">
        <f t="shared" si="43"/>
        <v>12375084.513999123</v>
      </c>
    </row>
    <row r="47" spans="1:254" ht="15.75">
      <c r="A47" s="9">
        <v>2010</v>
      </c>
      <c r="B47" s="49">
        <v>2017</v>
      </c>
      <c r="C47" s="31">
        <v>445</v>
      </c>
      <c r="D47" s="31">
        <v>157</v>
      </c>
      <c r="E47" s="31">
        <v>2129</v>
      </c>
      <c r="F47" s="31">
        <v>710</v>
      </c>
      <c r="G47" s="31">
        <v>339</v>
      </c>
      <c r="H47" s="31">
        <v>113</v>
      </c>
      <c r="I47" s="31">
        <v>157</v>
      </c>
      <c r="J47" s="84">
        <f t="shared" si="27"/>
        <v>3448</v>
      </c>
      <c r="K47" s="86">
        <f t="shared" si="28"/>
        <v>4050</v>
      </c>
      <c r="L47" s="84"/>
      <c r="M47" s="84"/>
      <c r="N47" s="84"/>
      <c r="O47" s="36">
        <f t="shared" si="29"/>
        <v>495985</v>
      </c>
      <c r="P47" s="36">
        <f t="shared" si="30"/>
        <v>402745</v>
      </c>
      <c r="Q47" s="36">
        <f t="shared" si="44"/>
        <v>168868</v>
      </c>
      <c r="R47" s="36">
        <f t="shared" si="51"/>
        <v>176120</v>
      </c>
      <c r="S47" s="36">
        <f t="shared" si="58"/>
        <v>184408</v>
      </c>
      <c r="T47" s="36">
        <f t="shared" si="65"/>
        <v>192696</v>
      </c>
      <c r="U47" s="36">
        <f t="shared" si="72"/>
        <v>201502</v>
      </c>
      <c r="V47" s="36">
        <f t="shared" si="79"/>
        <v>210826</v>
      </c>
      <c r="W47" s="36">
        <f t="shared" si="86"/>
        <v>220668</v>
      </c>
      <c r="X47" s="36">
        <f aca="true" t="shared" si="93" ref="X47:X56">$C$47*$F$26*0.1295</f>
        <v>230510</v>
      </c>
      <c r="Y47" s="36"/>
      <c r="Z47" s="36"/>
      <c r="AA47" s="47"/>
      <c r="AB47" s="78">
        <f t="shared" si="1"/>
        <v>2484328</v>
      </c>
      <c r="AC47" s="139"/>
      <c r="AD47" s="139"/>
      <c r="AE47" s="139"/>
      <c r="AF47" s="137">
        <f>$C$38*$S$21*$F$21*0.1295</f>
        <v>74397.75</v>
      </c>
      <c r="AG47" s="137">
        <f>$C$39*$R$21*$F$21*0.1295</f>
        <v>60411.75</v>
      </c>
      <c r="AH47" s="137">
        <f>$C$40*$Q$26*$F$26*0.1295</f>
        <v>67547.2</v>
      </c>
      <c r="AI47" s="137">
        <f>$C$41*$P$26*$F$26*0.1295</f>
        <v>70448</v>
      </c>
      <c r="AJ47" s="137">
        <f>$C$42*$O$26*$F$26*0.1295</f>
        <v>73763.2</v>
      </c>
      <c r="AK47" s="137">
        <f>$C$43*$N$26*$F$26*0.1295</f>
        <v>77078.40000000001</v>
      </c>
      <c r="AL47" s="137">
        <f>$C$44*$M$26*$F$26*0.1295</f>
        <v>80600.80000000002</v>
      </c>
      <c r="AM47" s="137">
        <f>$C$45*$L$26*$F$26*0.1295</f>
        <v>84330.40000000001</v>
      </c>
      <c r="AN47" s="137">
        <f>$C$46*$K$26*$F$26*0.1295</f>
        <v>88267.2</v>
      </c>
      <c r="AO47" s="137">
        <f>$C$47*$J$26*$F$26*0.1295</f>
        <v>92204</v>
      </c>
      <c r="AP47" s="137"/>
      <c r="AQ47" s="137"/>
      <c r="AR47" s="138"/>
      <c r="AS47" s="142">
        <f t="shared" si="2"/>
        <v>769048.7000000001</v>
      </c>
      <c r="AT47" s="143"/>
      <c r="AU47" s="143"/>
      <c r="AV47" s="143"/>
      <c r="AW47" s="36">
        <f t="shared" si="31"/>
        <v>163170</v>
      </c>
      <c r="AX47" s="36">
        <f t="shared" si="32"/>
        <v>240870</v>
      </c>
      <c r="AY47" s="36">
        <f t="shared" si="45"/>
        <v>74592</v>
      </c>
      <c r="AZ47" s="36">
        <f t="shared" si="52"/>
        <v>76923</v>
      </c>
      <c r="BA47" s="36">
        <f t="shared" si="59"/>
        <v>79254</v>
      </c>
      <c r="BB47" s="36">
        <f t="shared" si="66"/>
        <v>81585</v>
      </c>
      <c r="BC47" s="36">
        <f t="shared" si="73"/>
        <v>83916</v>
      </c>
      <c r="BD47" s="36">
        <f t="shared" si="80"/>
        <v>86247</v>
      </c>
      <c r="BE47" s="36">
        <f t="shared" si="87"/>
        <v>89160.75</v>
      </c>
      <c r="BF47" s="36">
        <f aca="true" t="shared" si="94" ref="BF47:BF56">$D$47*$F$27*0.1295</f>
        <v>91491.75</v>
      </c>
      <c r="BG47" s="36"/>
      <c r="BH47" s="36"/>
      <c r="BI47" s="47"/>
      <c r="BJ47" s="47">
        <f t="shared" si="4"/>
        <v>1067209.5</v>
      </c>
      <c r="BK47" s="139"/>
      <c r="BL47" s="139"/>
      <c r="BM47" s="139"/>
      <c r="BN47" s="137">
        <f>$D$38*$S$22*$F$22*0.1295</f>
        <v>24475.5</v>
      </c>
      <c r="BO47" s="137">
        <f>$D$39*$R$22*$F$22*0.1295</f>
        <v>36130.49999999999</v>
      </c>
      <c r="BP47" s="137">
        <f>$D$40*$Q$27*$F$27*0.1295</f>
        <v>29836.8</v>
      </c>
      <c r="BQ47" s="137">
        <f>$D$41*$P$27*$F$27*0.1295</f>
        <v>30769.200000000004</v>
      </c>
      <c r="BR47" s="137">
        <f>$D$42*$O$27*$F$27*0.1295</f>
        <v>31701.600000000006</v>
      </c>
      <c r="BS47" s="137">
        <f>$D$43*$N$27*$F$27*0.1295</f>
        <v>32634</v>
      </c>
      <c r="BT47" s="137">
        <f>$D$44*$M$27*$F$27*0.1295</f>
        <v>33566.4</v>
      </c>
      <c r="BU47" s="137">
        <f>$D$45*$L$27*$F$27*0.1295</f>
        <v>34498.8</v>
      </c>
      <c r="BV47" s="137">
        <f>$D$46*$K$27*$F$27*0.1295</f>
        <v>35664.3</v>
      </c>
      <c r="BW47" s="137">
        <f>$D$47*$J$27*$F$27*0.1295</f>
        <v>36596.700000000004</v>
      </c>
      <c r="BX47" s="137"/>
      <c r="BY47" s="137"/>
      <c r="BZ47" s="138"/>
      <c r="CA47" s="142">
        <f t="shared" si="5"/>
        <v>325873.8</v>
      </c>
      <c r="CB47" s="143"/>
      <c r="CC47" s="143"/>
      <c r="CD47" s="143"/>
      <c r="CE47" s="36">
        <f t="shared" si="33"/>
        <v>2846410</v>
      </c>
      <c r="CF47" s="36">
        <f t="shared" si="34"/>
        <v>3675210</v>
      </c>
      <c r="CG47" s="36">
        <f t="shared" si="46"/>
        <v>966717.5</v>
      </c>
      <c r="CH47" s="36">
        <f t="shared" si="53"/>
        <v>1017222.5</v>
      </c>
      <c r="CI47" s="36">
        <f t="shared" si="60"/>
        <v>1069670</v>
      </c>
      <c r="CJ47" s="36">
        <f t="shared" si="67"/>
        <v>1125355</v>
      </c>
      <c r="CK47" s="36">
        <f t="shared" si="74"/>
        <v>1184277.5</v>
      </c>
      <c r="CL47" s="36">
        <f t="shared" si="81"/>
        <v>1245790</v>
      </c>
      <c r="CM47" s="36">
        <f t="shared" si="88"/>
        <v>1310540</v>
      </c>
      <c r="CN47" s="36">
        <f aca="true" t="shared" si="95" ref="CN47:CN56">$E$47*$F$28*0.1295</f>
        <v>1378527.5</v>
      </c>
      <c r="CO47" s="36"/>
      <c r="CP47" s="36"/>
      <c r="CQ47" s="47"/>
      <c r="CR47" s="47">
        <f t="shared" si="7"/>
        <v>15819720</v>
      </c>
      <c r="CS47" s="139"/>
      <c r="CT47" s="139"/>
      <c r="CU47" s="139"/>
      <c r="CV47" s="137">
        <f>$E$38*$S$23*$F$23*0.1295</f>
        <v>426961.5</v>
      </c>
      <c r="CW47" s="137">
        <f>$E$39*$R$23*$F$23*0.1295</f>
        <v>551281.5</v>
      </c>
      <c r="CX47" s="137">
        <f>$E$40*$Q$28*$F$28*0.1295</f>
        <v>386687</v>
      </c>
      <c r="CY47" s="137">
        <f>$E$41*$P$28*$F$28*0.1295</f>
        <v>406889.00000000006</v>
      </c>
      <c r="CZ47" s="137">
        <f>$E$42*$O$28*$F$28*0.1295</f>
        <v>427868.00000000006</v>
      </c>
      <c r="DA47" s="137">
        <f>$E$43*$N$28*$F$28*0.1295</f>
        <v>450142</v>
      </c>
      <c r="DB47" s="137">
        <f>$E$44*$M$28*$F$28*0.1295</f>
        <v>473711</v>
      </c>
      <c r="DC47" s="137">
        <f>$E$45*$L$28*$F$28*0.1295</f>
        <v>498316</v>
      </c>
      <c r="DD47" s="137">
        <f>$E$46*$K$28*$F$28*0.1295</f>
        <v>524216</v>
      </c>
      <c r="DE47" s="137">
        <f>$E$47*$J$28*$F$28*0.1295</f>
        <v>551411</v>
      </c>
      <c r="DF47" s="137"/>
      <c r="DG47" s="137"/>
      <c r="DH47" s="138"/>
      <c r="DI47" s="142">
        <f t="shared" si="8"/>
        <v>4697483</v>
      </c>
      <c r="DJ47" s="143"/>
      <c r="DK47" s="143"/>
      <c r="DL47" s="143"/>
      <c r="DM47" s="36">
        <f t="shared" si="35"/>
        <v>947940</v>
      </c>
      <c r="DN47" s="36">
        <f t="shared" si="36"/>
        <v>1225070</v>
      </c>
      <c r="DO47" s="36">
        <f t="shared" si="47"/>
        <v>322455</v>
      </c>
      <c r="DP47" s="36">
        <f t="shared" si="54"/>
        <v>339290</v>
      </c>
      <c r="DQ47" s="36">
        <f t="shared" si="61"/>
        <v>356772.5</v>
      </c>
      <c r="DR47" s="36">
        <f t="shared" si="68"/>
        <v>374902.5</v>
      </c>
      <c r="DS47" s="36">
        <f t="shared" si="75"/>
        <v>394975</v>
      </c>
      <c r="DT47" s="36">
        <f t="shared" si="82"/>
        <v>415047.5</v>
      </c>
      <c r="DU47" s="36">
        <f t="shared" si="89"/>
        <v>437062.5</v>
      </c>
      <c r="DV47" s="36">
        <f aca="true" t="shared" si="96" ref="DV47:DV56">$F$47*$F$28*0.1295</f>
        <v>459725</v>
      </c>
      <c r="DW47" s="36"/>
      <c r="DX47" s="36"/>
      <c r="DY47" s="47"/>
      <c r="DZ47" s="78">
        <f>SUM(DJ47:DY47)</f>
        <v>5273240</v>
      </c>
      <c r="EA47" s="139"/>
      <c r="EB47" s="139"/>
      <c r="EC47" s="139"/>
      <c r="ED47" s="137">
        <f>$F$38*$S$23*$F$23*0.1295</f>
        <v>142191</v>
      </c>
      <c r="EE47" s="137">
        <f>$F$39*$R$23*$F$23*0.1295</f>
        <v>183760.5</v>
      </c>
      <c r="EF47" s="137">
        <f>$F$40*$Q$28*$F$28*0.1295</f>
        <v>128982.00000000001</v>
      </c>
      <c r="EG47" s="137">
        <f>$F$41*$P$28*$F$28*0.1295</f>
        <v>135716.00000000003</v>
      </c>
      <c r="EH47" s="137">
        <f>$F$42*$O$28*$F$28*0.1295</f>
        <v>142709</v>
      </c>
      <c r="EI47" s="137">
        <f>$F$43*$N$28*$F$28*0.1295</f>
        <v>149961</v>
      </c>
      <c r="EJ47" s="137">
        <f>$F$44*$M$28*$F$28*0.1295</f>
        <v>157990</v>
      </c>
      <c r="EK47" s="137">
        <f>$F$45*$L$28*$F$28*0.1295</f>
        <v>166019.00000000003</v>
      </c>
      <c r="EL47" s="137">
        <f>$F$46*$K$28*$F$28*0.1295</f>
        <v>174825</v>
      </c>
      <c r="EM47" s="137">
        <f>$F$47*J$28*$F$28*0.1295</f>
        <v>183890</v>
      </c>
      <c r="EN47" s="137"/>
      <c r="EO47" s="137"/>
      <c r="EP47" s="138"/>
      <c r="EQ47" s="142">
        <f>SUM(EA47:EP47)</f>
        <v>1566043.5</v>
      </c>
      <c r="ER47" s="143"/>
      <c r="ES47" s="143"/>
      <c r="ET47" s="143"/>
      <c r="EU47" s="36">
        <f t="shared" si="37"/>
        <v>220668</v>
      </c>
      <c r="EV47" s="36">
        <f t="shared" si="38"/>
        <v>242424</v>
      </c>
      <c r="EW47" s="36">
        <f t="shared" si="48"/>
        <v>111370</v>
      </c>
      <c r="EX47" s="36">
        <f t="shared" si="55"/>
        <v>122377.5</v>
      </c>
      <c r="EY47" s="36">
        <f t="shared" si="62"/>
        <v>135327.5</v>
      </c>
      <c r="EZ47" s="36">
        <f t="shared" si="69"/>
        <v>148925</v>
      </c>
      <c r="FA47" s="36">
        <f t="shared" si="76"/>
        <v>164465</v>
      </c>
      <c r="FB47" s="36">
        <f t="shared" si="83"/>
        <v>180652.5</v>
      </c>
      <c r="FC47" s="36">
        <f t="shared" si="90"/>
        <v>199430</v>
      </c>
      <c r="FD47" s="36">
        <f aca="true" t="shared" si="97" ref="FD47:FD56">$G$47*$F$29*0.1295</f>
        <v>219502.5</v>
      </c>
      <c r="FE47" s="36"/>
      <c r="FF47" s="36"/>
      <c r="FG47" s="47"/>
      <c r="FH47" s="78">
        <f>SUM(ER47:FG47)</f>
        <v>1745142</v>
      </c>
      <c r="FI47" s="139"/>
      <c r="FJ47" s="139"/>
      <c r="FK47" s="139"/>
      <c r="FL47" s="137">
        <f>$G$38*$S$24*$F$24*0.1295</f>
        <v>33100.200000000004</v>
      </c>
      <c r="FM47" s="137">
        <f>$G$39*$R$24*$F$24*0.1295</f>
        <v>36363.6</v>
      </c>
      <c r="FN47" s="137">
        <f>$G$40*$Q$29*$F$29*0.1295</f>
        <v>44548</v>
      </c>
      <c r="FO47" s="137">
        <f>$G$41*$P$29*$F$29*0.1295</f>
        <v>48951.00000000001</v>
      </c>
      <c r="FP47" s="137">
        <f>$G$42*$O$29*$F$29*0.1295</f>
        <v>54131.00000000001</v>
      </c>
      <c r="FQ47" s="137">
        <f>$G$43*$N$29*$F$29*0.1295</f>
        <v>59570</v>
      </c>
      <c r="FR47" s="137">
        <f>$G$44*$M$29*$F$29*0.1295</f>
        <v>65786.00000000001</v>
      </c>
      <c r="FS47" s="137">
        <f>$G$45*$L$29*$F$29*0.1295</f>
        <v>72261</v>
      </c>
      <c r="FT47" s="137">
        <f>$G$46*$K$29*$F$29*0.1295</f>
        <v>79772</v>
      </c>
      <c r="FU47" s="137">
        <f>$G$47*$J$29*$F$29*0.1295</f>
        <v>87801</v>
      </c>
      <c r="FV47" s="137"/>
      <c r="FW47" s="137"/>
      <c r="FX47" s="138"/>
      <c r="FY47" s="142">
        <f>SUM(FI47:FX47)</f>
        <v>582283.8</v>
      </c>
      <c r="FZ47" s="143"/>
      <c r="GA47" s="143"/>
      <c r="GB47" s="143"/>
      <c r="GC47" s="36">
        <f t="shared" si="39"/>
        <v>73038</v>
      </c>
      <c r="GD47" s="36">
        <f t="shared" si="40"/>
        <v>80808</v>
      </c>
      <c r="GE47" s="36">
        <f t="shared" si="49"/>
        <v>36907.5</v>
      </c>
      <c r="GF47" s="36">
        <f t="shared" si="56"/>
        <v>40792.5</v>
      </c>
      <c r="GG47" s="36">
        <f t="shared" si="63"/>
        <v>45325</v>
      </c>
      <c r="GH47" s="36">
        <f t="shared" si="70"/>
        <v>49857.5</v>
      </c>
      <c r="GI47" s="36">
        <f t="shared" si="77"/>
        <v>55037.5</v>
      </c>
      <c r="GJ47" s="36">
        <f t="shared" si="84"/>
        <v>60217.5</v>
      </c>
      <c r="GK47" s="36">
        <f t="shared" si="91"/>
        <v>66692.5</v>
      </c>
      <c r="GL47" s="36">
        <f aca="true" t="shared" si="98" ref="GL47:GL56">$H$47*$F$29*0.1295</f>
        <v>73167.5</v>
      </c>
      <c r="GM47" s="36"/>
      <c r="GN47" s="36"/>
      <c r="GO47" s="47"/>
      <c r="GP47" s="47">
        <f>SUM(FZ47:GO47)</f>
        <v>581843.5</v>
      </c>
      <c r="GQ47" s="139"/>
      <c r="GR47" s="139"/>
      <c r="GS47" s="139"/>
      <c r="GT47" s="137">
        <f>$H$38*$S$24*$F$24*0.1295</f>
        <v>10955.7</v>
      </c>
      <c r="GU47" s="137">
        <f>$H$39*$R$24*$F$24*0.1295</f>
        <v>12121.2</v>
      </c>
      <c r="GV47" s="137">
        <f>$H$40*$Q$29*$F$29*0.1295</f>
        <v>14763</v>
      </c>
      <c r="GW47" s="137">
        <f>$H$41*$P$29*$F$29*0.1295</f>
        <v>16317.000000000002</v>
      </c>
      <c r="GX47" s="137">
        <f>$H$42*$O$29*$F$29*0.1295</f>
        <v>18130</v>
      </c>
      <c r="GY47" s="137">
        <f>$H$43*$N$29*$F$29*0.1295</f>
        <v>19943</v>
      </c>
      <c r="GZ47" s="137">
        <f>$H$44*$M$29*$F$29*0.1295</f>
        <v>22015</v>
      </c>
      <c r="HA47" s="137">
        <f>$H$45*$L$29*$F$29*0.1295</f>
        <v>24087</v>
      </c>
      <c r="HB47" s="137">
        <f>$H$46*$K$29*$F$29*0.1295</f>
        <v>26677</v>
      </c>
      <c r="HC47" s="137">
        <f>$H$47*$J$29*$F$29*0.1295</f>
        <v>29267</v>
      </c>
      <c r="HD47" s="137"/>
      <c r="HE47" s="137"/>
      <c r="HF47" s="138"/>
      <c r="HG47" s="142">
        <f>SUM(GQ47:HF47)</f>
        <v>194275.9</v>
      </c>
      <c r="HH47" s="143"/>
      <c r="HI47" s="143"/>
      <c r="HJ47" s="143"/>
      <c r="HK47" s="81">
        <f t="shared" si="41"/>
        <v>259000</v>
      </c>
      <c r="HL47" s="36">
        <f t="shared" si="42"/>
        <v>271950</v>
      </c>
      <c r="HM47" s="36">
        <f t="shared" si="50"/>
        <v>71225</v>
      </c>
      <c r="HN47" s="36">
        <f t="shared" si="57"/>
        <v>75110</v>
      </c>
      <c r="HO47" s="36">
        <f t="shared" si="64"/>
        <v>78995</v>
      </c>
      <c r="HP47" s="36">
        <f t="shared" si="71"/>
        <v>82880</v>
      </c>
      <c r="HQ47" s="36">
        <f t="shared" si="78"/>
        <v>87412.5</v>
      </c>
      <c r="HR47" s="36">
        <f t="shared" si="85"/>
        <v>91945</v>
      </c>
      <c r="HS47" s="36">
        <f t="shared" si="92"/>
        <v>96477.5</v>
      </c>
      <c r="HT47" s="36">
        <f aca="true" t="shared" si="99" ref="HT47:HT56">$I$47*$F$28*0.1295</f>
        <v>101657.5</v>
      </c>
      <c r="HU47" s="36"/>
      <c r="HV47" s="36"/>
      <c r="HW47" s="36"/>
      <c r="HX47" s="47">
        <f>SUM(HH47:HW47)</f>
        <v>1216652.5</v>
      </c>
      <c r="HY47" s="137"/>
      <c r="HZ47" s="137"/>
      <c r="IA47" s="139"/>
      <c r="IB47" s="139">
        <f>$I$38*$S$23*$F$23*0.1295</f>
        <v>38850</v>
      </c>
      <c r="IC47" s="137">
        <f>$I$39*$R$23*$F$23*0.1295</f>
        <v>40792.5</v>
      </c>
      <c r="ID47" s="137">
        <f>$I$40*$Q$28*$F$28*0.1295</f>
        <v>28490</v>
      </c>
      <c r="IE47" s="137">
        <f>$I$41*$P$28*$F$28*0.1295</f>
        <v>30044.000000000004</v>
      </c>
      <c r="IF47" s="137">
        <f>$I$42*$O$28*$F$28*0.1295</f>
        <v>31598.000000000004</v>
      </c>
      <c r="IG47" s="137">
        <f>$I$43*$N$28*$F$28*0.1295</f>
        <v>33152</v>
      </c>
      <c r="IH47" s="137">
        <f>$I$44*$M$28*$F$28*0.1295</f>
        <v>34965</v>
      </c>
      <c r="II47" s="137">
        <f>$I$45*$L$28*$F$28*0.1295</f>
        <v>36778</v>
      </c>
      <c r="IJ47" s="137">
        <f>$I$46*$K$28*$F$28*0.1295</f>
        <v>38591</v>
      </c>
      <c r="IK47" s="137">
        <f>$I$47*$J$28*$F$28*0.1295</f>
        <v>40663</v>
      </c>
      <c r="IL47" s="137"/>
      <c r="IM47" s="137"/>
      <c r="IN47" s="138"/>
      <c r="IO47" s="138">
        <f>SUM(HY47:IN47)</f>
        <v>353923.5</v>
      </c>
      <c r="IP47" s="38">
        <f>SUM(AB47,BJ47,CR47,DZ47,FH47,GP47,HX47)*(1+$E$10)^-15</f>
        <v>13558975.13880506</v>
      </c>
      <c r="IQ47" s="142">
        <f>SUM(AF47:AG47,BN47:BO47,CV47:CW47,ED47:EE47,FL47:FM47,GT47:GU47,IB47:IC47)*(1+$E$10)^-15</f>
        <v>804161.113672217</v>
      </c>
      <c r="IR47" s="142">
        <f>SUM(AH47:AO47,BP47:BW47,CX47:DE47,EF47:EM47,FN47:FU47,GV47:HC47,ID47:IK47)*(1+$E$10)^-15</f>
        <v>3279160.4190627784</v>
      </c>
      <c r="IS47" s="196">
        <f>SUM(AS47,CA47,DI47,EQ47,FY47,HG47,IO47)*(1+$E$10)^-15</f>
        <v>4083321.5327349952</v>
      </c>
      <c r="IT47" s="159">
        <f t="shared" si="43"/>
        <v>9475653.606070064</v>
      </c>
    </row>
    <row r="48" spans="1:254" ht="15.75">
      <c r="A48" s="9">
        <v>2011</v>
      </c>
      <c r="B48" s="49">
        <v>2018</v>
      </c>
      <c r="C48" s="31">
        <v>465</v>
      </c>
      <c r="D48" s="31">
        <v>162</v>
      </c>
      <c r="E48" s="31">
        <v>2240</v>
      </c>
      <c r="F48" s="31">
        <v>747</v>
      </c>
      <c r="G48" s="31">
        <v>374</v>
      </c>
      <c r="H48" s="31">
        <v>125</v>
      </c>
      <c r="I48" s="31">
        <v>165</v>
      </c>
      <c r="J48" s="84">
        <f t="shared" si="27"/>
        <v>3651</v>
      </c>
      <c r="K48" s="86">
        <f t="shared" si="28"/>
        <v>4278</v>
      </c>
      <c r="L48" s="84"/>
      <c r="M48" s="84"/>
      <c r="N48" s="84"/>
      <c r="O48" s="36"/>
      <c r="P48" s="36">
        <f t="shared" si="30"/>
        <v>402745</v>
      </c>
      <c r="Q48" s="36">
        <f t="shared" si="44"/>
        <v>168868</v>
      </c>
      <c r="R48" s="36">
        <f t="shared" si="51"/>
        <v>176120</v>
      </c>
      <c r="S48" s="36">
        <f t="shared" si="58"/>
        <v>184408</v>
      </c>
      <c r="T48" s="36">
        <f t="shared" si="65"/>
        <v>192696</v>
      </c>
      <c r="U48" s="36">
        <f t="shared" si="72"/>
        <v>201502</v>
      </c>
      <c r="V48" s="36">
        <f t="shared" si="79"/>
        <v>210826</v>
      </c>
      <c r="W48" s="36">
        <f t="shared" si="86"/>
        <v>220668</v>
      </c>
      <c r="X48" s="36">
        <f t="shared" si="93"/>
        <v>230510</v>
      </c>
      <c r="Y48" s="36">
        <f aca="true" t="shared" si="100" ref="Y48:Y57">$C$48*$F$26*0.1295</f>
        <v>240870</v>
      </c>
      <c r="Z48" s="36"/>
      <c r="AA48" s="47"/>
      <c r="AB48" s="78">
        <f t="shared" si="1"/>
        <v>2229213</v>
      </c>
      <c r="AC48" s="139"/>
      <c r="AD48" s="139"/>
      <c r="AE48" s="139"/>
      <c r="AF48" s="137"/>
      <c r="AG48" s="137">
        <f>$C$39*$S$21*$F$21*0.1295</f>
        <v>60411.75</v>
      </c>
      <c r="AH48" s="137">
        <f>$C$40*$R$26*$F$26*0.1295</f>
        <v>67547.2</v>
      </c>
      <c r="AI48" s="137">
        <f>$C$41*$Q$26*$F$26*0.1295</f>
        <v>70448</v>
      </c>
      <c r="AJ48" s="137">
        <f>$C$42*$P$26*$F$26*0.1295</f>
        <v>73763.2</v>
      </c>
      <c r="AK48" s="137">
        <f>$C$43*$O$26*$F$26*0.1295</f>
        <v>77078.40000000001</v>
      </c>
      <c r="AL48" s="137">
        <f>$C$44*$N$26*$F$26*0.1295</f>
        <v>80600.80000000002</v>
      </c>
      <c r="AM48" s="137">
        <f>$C$45*$M$26*$F$26*0.1295</f>
        <v>84330.40000000001</v>
      </c>
      <c r="AN48" s="137">
        <f>$C$46*$L$26*$F$26*0.1295</f>
        <v>88267.2</v>
      </c>
      <c r="AO48" s="137">
        <f>$C$47*$K$26*$F$26*0.1295</f>
        <v>92204</v>
      </c>
      <c r="AP48" s="137">
        <f>$C$48*$J$26*$F$26*0.1295</f>
        <v>96348</v>
      </c>
      <c r="AQ48" s="137"/>
      <c r="AR48" s="138"/>
      <c r="AS48" s="142">
        <f t="shared" si="2"/>
        <v>790998.9500000001</v>
      </c>
      <c r="AT48" s="143"/>
      <c r="AU48" s="143"/>
      <c r="AV48" s="143"/>
      <c r="AW48" s="81"/>
      <c r="AX48" s="36">
        <f t="shared" si="32"/>
        <v>240870</v>
      </c>
      <c r="AY48" s="36">
        <f t="shared" si="45"/>
        <v>74592</v>
      </c>
      <c r="AZ48" s="36">
        <f t="shared" si="52"/>
        <v>76923</v>
      </c>
      <c r="BA48" s="36">
        <f t="shared" si="59"/>
        <v>79254</v>
      </c>
      <c r="BB48" s="36">
        <f t="shared" si="66"/>
        <v>81585</v>
      </c>
      <c r="BC48" s="36">
        <f t="shared" si="73"/>
        <v>83916</v>
      </c>
      <c r="BD48" s="36">
        <f t="shared" si="80"/>
        <v>86247</v>
      </c>
      <c r="BE48" s="36">
        <f t="shared" si="87"/>
        <v>89160.75</v>
      </c>
      <c r="BF48" s="36">
        <f t="shared" si="94"/>
        <v>91491.75</v>
      </c>
      <c r="BG48" s="36">
        <f aca="true" t="shared" si="101" ref="BG48:BG57">$D$48*$F$27*0.1295</f>
        <v>94405.5</v>
      </c>
      <c r="BH48" s="36"/>
      <c r="BI48" s="47"/>
      <c r="BJ48" s="47">
        <f t="shared" si="4"/>
        <v>998445</v>
      </c>
      <c r="BK48" s="139"/>
      <c r="BL48" s="139"/>
      <c r="BM48" s="139"/>
      <c r="BN48" s="139"/>
      <c r="BO48" s="137">
        <f>$D$39*$S$22*$F$22*0.1295</f>
        <v>36130.49999999999</v>
      </c>
      <c r="BP48" s="137">
        <f>$D$40*$R$27*$F$27*0.1295</f>
        <v>29836.8</v>
      </c>
      <c r="BQ48" s="137">
        <f>$D$41*$Q$27*$F$27*0.1295</f>
        <v>30769.200000000004</v>
      </c>
      <c r="BR48" s="137">
        <f>$D$42*$P$27*$F$27*0.1295</f>
        <v>31701.600000000006</v>
      </c>
      <c r="BS48" s="137">
        <f>$D$43*$O$27*$F$27*0.1295</f>
        <v>32634</v>
      </c>
      <c r="BT48" s="137">
        <f>$D$44*$N$27*$F$27*0.1295</f>
        <v>33566.4</v>
      </c>
      <c r="BU48" s="137">
        <f>$D$45*$M$27*$F$27*0.1295</f>
        <v>34498.8</v>
      </c>
      <c r="BV48" s="137">
        <f>$D$46*$L$27*$F$27*0.1295</f>
        <v>35664.3</v>
      </c>
      <c r="BW48" s="137">
        <f>$D$47*$K$27*$F$27*0.1295</f>
        <v>36596.700000000004</v>
      </c>
      <c r="BX48" s="137">
        <f>$D$48*$J$27*$F$27*0.1295</f>
        <v>37762.200000000004</v>
      </c>
      <c r="BY48" s="137"/>
      <c r="BZ48" s="138"/>
      <c r="CA48" s="142">
        <f t="shared" si="5"/>
        <v>339160.5</v>
      </c>
      <c r="CB48" s="143"/>
      <c r="CC48" s="143"/>
      <c r="CD48" s="143"/>
      <c r="CE48" s="36"/>
      <c r="CF48" s="36">
        <f t="shared" si="34"/>
        <v>3675210</v>
      </c>
      <c r="CG48" s="36">
        <f t="shared" si="46"/>
        <v>966717.5</v>
      </c>
      <c r="CH48" s="36">
        <f t="shared" si="53"/>
        <v>1017222.5</v>
      </c>
      <c r="CI48" s="36">
        <f t="shared" si="60"/>
        <v>1069670</v>
      </c>
      <c r="CJ48" s="36">
        <f t="shared" si="67"/>
        <v>1125355</v>
      </c>
      <c r="CK48" s="36">
        <f t="shared" si="74"/>
        <v>1184277.5</v>
      </c>
      <c r="CL48" s="36">
        <f t="shared" si="81"/>
        <v>1245790</v>
      </c>
      <c r="CM48" s="36">
        <f t="shared" si="88"/>
        <v>1310540</v>
      </c>
      <c r="CN48" s="36">
        <f t="shared" si="95"/>
        <v>1378527.5</v>
      </c>
      <c r="CO48" s="36">
        <f aca="true" t="shared" si="102" ref="CO48:CO57">$E$48*$F$28*0.1295</f>
        <v>1450400</v>
      </c>
      <c r="CP48" s="36"/>
      <c r="CQ48" s="47"/>
      <c r="CR48" s="47">
        <f t="shared" si="7"/>
        <v>14423710</v>
      </c>
      <c r="CS48" s="139"/>
      <c r="CT48" s="139"/>
      <c r="CU48" s="139"/>
      <c r="CV48" s="137"/>
      <c r="CW48" s="137">
        <f>$E$39*$S$23*$F$23*0.1295</f>
        <v>551281.5</v>
      </c>
      <c r="CX48" s="137">
        <f>$E$40*$R$28*$F$28*0.1295</f>
        <v>386687</v>
      </c>
      <c r="CY48" s="137">
        <f>$E$41*$Q$28*$F$28*0.1295</f>
        <v>406889.00000000006</v>
      </c>
      <c r="CZ48" s="137">
        <f>$E$42*$P$28*$F$28*0.1295</f>
        <v>427868.00000000006</v>
      </c>
      <c r="DA48" s="137">
        <f>$E$43*$O$28*$F$28*0.1295</f>
        <v>450142</v>
      </c>
      <c r="DB48" s="137">
        <f>$E$44*$N$28*$F$28*0.1295</f>
        <v>473711</v>
      </c>
      <c r="DC48" s="137">
        <f>$E$45*$M$28*$F$28*0.1295</f>
        <v>498316</v>
      </c>
      <c r="DD48" s="137">
        <f>$E$46*$L$28*$F$28*0.1295</f>
        <v>524216</v>
      </c>
      <c r="DE48" s="137">
        <f>$E$47*$K$28*$F$28*0.1295</f>
        <v>551411</v>
      </c>
      <c r="DF48" s="137">
        <f>$E$48*$J$28*$F$28*0.1295</f>
        <v>580160</v>
      </c>
      <c r="DG48" s="137"/>
      <c r="DH48" s="138"/>
      <c r="DI48" s="142">
        <f t="shared" si="8"/>
        <v>4850681.5</v>
      </c>
      <c r="DJ48" s="143"/>
      <c r="DK48" s="143"/>
      <c r="DL48" s="143"/>
      <c r="DM48" s="143"/>
      <c r="DN48" s="36">
        <f t="shared" si="36"/>
        <v>1225070</v>
      </c>
      <c r="DO48" s="36">
        <f t="shared" si="47"/>
        <v>322455</v>
      </c>
      <c r="DP48" s="36">
        <f t="shared" si="54"/>
        <v>339290</v>
      </c>
      <c r="DQ48" s="36">
        <f t="shared" si="61"/>
        <v>356772.5</v>
      </c>
      <c r="DR48" s="36">
        <f t="shared" si="68"/>
        <v>374902.5</v>
      </c>
      <c r="DS48" s="36">
        <f t="shared" si="75"/>
        <v>394975</v>
      </c>
      <c r="DT48" s="36">
        <f t="shared" si="82"/>
        <v>415047.5</v>
      </c>
      <c r="DU48" s="36">
        <f t="shared" si="89"/>
        <v>437062.5</v>
      </c>
      <c r="DV48" s="36">
        <f t="shared" si="96"/>
        <v>459725</v>
      </c>
      <c r="DW48" s="36">
        <f aca="true" t="shared" si="103" ref="DW48:DW57">$F$48*$F$28*0.1295</f>
        <v>483682.5</v>
      </c>
      <c r="DX48" s="36"/>
      <c r="DY48" s="47"/>
      <c r="DZ48" s="78">
        <f>SUM(DJ48:DY48)</f>
        <v>4808982.5</v>
      </c>
      <c r="EA48" s="139"/>
      <c r="EB48" s="139"/>
      <c r="EC48" s="139"/>
      <c r="ED48" s="139"/>
      <c r="EE48" s="137">
        <f>$F$39*$S$23*$F$23*0.1295</f>
        <v>183760.5</v>
      </c>
      <c r="EF48" s="137">
        <f>$F$40*$R$28*$F$28*0.1295</f>
        <v>128982.00000000001</v>
      </c>
      <c r="EG48" s="137">
        <f>$F$41*$Q$28*$F$28*0.1295</f>
        <v>135716.00000000003</v>
      </c>
      <c r="EH48" s="137">
        <f>$F$42*$P$28*$F$28*0.1295</f>
        <v>142709</v>
      </c>
      <c r="EI48" s="137">
        <f>$F$43*$O$28*$F$28*0.1295</f>
        <v>149961</v>
      </c>
      <c r="EJ48" s="137">
        <f>$F$44*$N$28*$F$28*0.1295</f>
        <v>157990</v>
      </c>
      <c r="EK48" s="137">
        <f>$F$45*$M$28*$F$28*0.1295</f>
        <v>166019.00000000003</v>
      </c>
      <c r="EL48" s="137">
        <f>$F$46*$L$28*$F$28*0.1295</f>
        <v>174825</v>
      </c>
      <c r="EM48" s="137">
        <f>$F$47*K$28*$F$28*0.1295</f>
        <v>183890</v>
      </c>
      <c r="EN48" s="137">
        <f>$F$48*$J$28*$F$28*0.1295</f>
        <v>193473</v>
      </c>
      <c r="EO48" s="137"/>
      <c r="EP48" s="138"/>
      <c r="EQ48" s="142">
        <f>SUM(EA48:EP48)</f>
        <v>1617325.5</v>
      </c>
      <c r="ER48" s="143"/>
      <c r="ES48" s="143"/>
      <c r="ET48" s="143"/>
      <c r="EU48" s="36"/>
      <c r="EV48" s="36">
        <f t="shared" si="38"/>
        <v>242424</v>
      </c>
      <c r="EW48" s="36">
        <f t="shared" si="48"/>
        <v>111370</v>
      </c>
      <c r="EX48" s="36">
        <f t="shared" si="55"/>
        <v>122377.5</v>
      </c>
      <c r="EY48" s="36">
        <f t="shared" si="62"/>
        <v>135327.5</v>
      </c>
      <c r="EZ48" s="36">
        <f t="shared" si="69"/>
        <v>148925</v>
      </c>
      <c r="FA48" s="36">
        <f t="shared" si="76"/>
        <v>164465</v>
      </c>
      <c r="FB48" s="36">
        <f t="shared" si="83"/>
        <v>180652.5</v>
      </c>
      <c r="FC48" s="36">
        <f t="shared" si="90"/>
        <v>199430</v>
      </c>
      <c r="FD48" s="36">
        <f t="shared" si="97"/>
        <v>219502.5</v>
      </c>
      <c r="FE48" s="36">
        <f aca="true" t="shared" si="104" ref="FE48:FE57">$G$48*$F$29*0.1295</f>
        <v>242165</v>
      </c>
      <c r="FF48" s="36"/>
      <c r="FG48" s="47"/>
      <c r="FH48" s="78">
        <f>SUM(ER48:FG48)</f>
        <v>1766639</v>
      </c>
      <c r="FI48" s="139"/>
      <c r="FJ48" s="139"/>
      <c r="FK48" s="139"/>
      <c r="FL48" s="137"/>
      <c r="FM48" s="137">
        <f>$G$39*$S$24*$F$24*0.1295</f>
        <v>36363.6</v>
      </c>
      <c r="FN48" s="137">
        <f>$G$40*$R$29*$F$29*0.1295</f>
        <v>44548</v>
      </c>
      <c r="FO48" s="137">
        <f>$G$41*$Q$29*$F$29*0.1295</f>
        <v>48951.00000000001</v>
      </c>
      <c r="FP48" s="137">
        <f>$G$42*$P$29*$F$29*0.1295</f>
        <v>54131.00000000001</v>
      </c>
      <c r="FQ48" s="137">
        <f>$G$43*$O$29*$F$29*0.1295</f>
        <v>59570</v>
      </c>
      <c r="FR48" s="137">
        <f>$G$44*$N$29*$F$29*0.1295</f>
        <v>65786.00000000001</v>
      </c>
      <c r="FS48" s="137">
        <f>$G$45*$M$29*$F$29*0.1295</f>
        <v>72261</v>
      </c>
      <c r="FT48" s="137">
        <f>$G$46*$L$29*$F$29*0.1295</f>
        <v>79772</v>
      </c>
      <c r="FU48" s="137">
        <f>$G$47*$K$29*$F$29*0.1295</f>
        <v>87801</v>
      </c>
      <c r="FV48" s="137">
        <f>$G$48*$J$29*$F$29*0.1295</f>
        <v>96866</v>
      </c>
      <c r="FW48" s="137"/>
      <c r="FX48" s="138"/>
      <c r="FY48" s="142">
        <f>SUM(FI48:FX48)</f>
        <v>646049.6000000001</v>
      </c>
      <c r="FZ48" s="143"/>
      <c r="GA48" s="143"/>
      <c r="GB48" s="143"/>
      <c r="GC48" s="36"/>
      <c r="GD48" s="36">
        <f t="shared" si="40"/>
        <v>80808</v>
      </c>
      <c r="GE48" s="36">
        <f t="shared" si="49"/>
        <v>36907.5</v>
      </c>
      <c r="GF48" s="36">
        <f t="shared" si="56"/>
        <v>40792.5</v>
      </c>
      <c r="GG48" s="36">
        <f t="shared" si="63"/>
        <v>45325</v>
      </c>
      <c r="GH48" s="36">
        <f t="shared" si="70"/>
        <v>49857.5</v>
      </c>
      <c r="GI48" s="36">
        <f t="shared" si="77"/>
        <v>55037.5</v>
      </c>
      <c r="GJ48" s="36">
        <f t="shared" si="84"/>
        <v>60217.5</v>
      </c>
      <c r="GK48" s="36">
        <f t="shared" si="91"/>
        <v>66692.5</v>
      </c>
      <c r="GL48" s="36">
        <f t="shared" si="98"/>
        <v>73167.5</v>
      </c>
      <c r="GM48" s="36">
        <f aca="true" t="shared" si="105" ref="GM48:GM57">$H$48*$F$29*0.1295</f>
        <v>80937.5</v>
      </c>
      <c r="GN48" s="36"/>
      <c r="GO48" s="47"/>
      <c r="GP48" s="47">
        <f>SUM(FZ48:GO48)</f>
        <v>589743</v>
      </c>
      <c r="GQ48" s="139"/>
      <c r="GR48" s="139"/>
      <c r="GS48" s="139"/>
      <c r="GT48" s="137"/>
      <c r="GU48" s="137">
        <f>$H$39*$S$24*$F$24*0.1295</f>
        <v>12121.2</v>
      </c>
      <c r="GV48" s="137">
        <f>$H$40*$R$29*$F$29*0.1295</f>
        <v>14763</v>
      </c>
      <c r="GW48" s="137">
        <f>$H$41*$Q$29*$F$29*0.1295</f>
        <v>16317.000000000002</v>
      </c>
      <c r="GX48" s="137">
        <f>$H$42*$P$29*$F$29*0.1295</f>
        <v>18130</v>
      </c>
      <c r="GY48" s="137">
        <f>$H$43*$O$29*$F$29*0.1295</f>
        <v>19943</v>
      </c>
      <c r="GZ48" s="137">
        <f>$H$44*$N$29*$F$29*0.1295</f>
        <v>22015</v>
      </c>
      <c r="HA48" s="137">
        <f>$H$45*$M$29*$F$29*0.1295</f>
        <v>24087</v>
      </c>
      <c r="HB48" s="137">
        <f>$H$46*$L$29*$F$29*0.1295</f>
        <v>26677</v>
      </c>
      <c r="HC48" s="137">
        <f>$H$47*$K$29*$F$29*0.1295</f>
        <v>29267</v>
      </c>
      <c r="HD48" s="137">
        <f>$H$48*$J$29*$F$29*0.1295</f>
        <v>32375</v>
      </c>
      <c r="HE48" s="137"/>
      <c r="HF48" s="138"/>
      <c r="HG48" s="142">
        <f>SUM(GQ48:HF48)</f>
        <v>215695.2</v>
      </c>
      <c r="HH48" s="143"/>
      <c r="HI48" s="143"/>
      <c r="HJ48" s="143"/>
      <c r="HK48" s="81"/>
      <c r="HL48" s="36">
        <f t="shared" si="42"/>
        <v>271950</v>
      </c>
      <c r="HM48" s="36">
        <f t="shared" si="50"/>
        <v>71225</v>
      </c>
      <c r="HN48" s="36">
        <f t="shared" si="57"/>
        <v>75110</v>
      </c>
      <c r="HO48" s="36">
        <f t="shared" si="64"/>
        <v>78995</v>
      </c>
      <c r="HP48" s="36">
        <f t="shared" si="71"/>
        <v>82880</v>
      </c>
      <c r="HQ48" s="36">
        <f t="shared" si="78"/>
        <v>87412.5</v>
      </c>
      <c r="HR48" s="36">
        <f t="shared" si="85"/>
        <v>91945</v>
      </c>
      <c r="HS48" s="36">
        <f t="shared" si="92"/>
        <v>96477.5</v>
      </c>
      <c r="HT48" s="36">
        <f t="shared" si="99"/>
        <v>101657.5</v>
      </c>
      <c r="HU48" s="36">
        <f aca="true" t="shared" si="106" ref="HU48:HU57">$I$48*$F$28*0.1295</f>
        <v>106837.5</v>
      </c>
      <c r="HV48" s="36"/>
      <c r="HW48" s="36"/>
      <c r="HX48" s="47">
        <f>SUM(HH48:HW48)</f>
        <v>1064490</v>
      </c>
      <c r="HY48" s="137"/>
      <c r="HZ48" s="137"/>
      <c r="IA48" s="139"/>
      <c r="IB48" s="139"/>
      <c r="IC48" s="137">
        <f>$I$39*$S$23*$F$23*0.1295</f>
        <v>40792.5</v>
      </c>
      <c r="ID48" s="137">
        <f>$I$40*$R$28*$F$28*0.1295</f>
        <v>28490</v>
      </c>
      <c r="IE48" s="137">
        <f>$I$41*$Q$28*$F$28*0.1295</f>
        <v>30044.000000000004</v>
      </c>
      <c r="IF48" s="137">
        <f>$I$42*$P$28*$F$28*0.1295</f>
        <v>31598.000000000004</v>
      </c>
      <c r="IG48" s="137">
        <f>$I$43*$O$28*$F$28*0.1295</f>
        <v>33152</v>
      </c>
      <c r="IH48" s="137">
        <f>$I$44*$N$28*$F$28*0.1295</f>
        <v>34965</v>
      </c>
      <c r="II48" s="137">
        <f>$I$45*$M$28*$F$28*0.1295</f>
        <v>36778</v>
      </c>
      <c r="IJ48" s="137">
        <f>$I$46*$L$28*$F$28*0.1295</f>
        <v>38591</v>
      </c>
      <c r="IK48" s="137">
        <f>$I$47*$K$28*$F$28*0.1295</f>
        <v>40663</v>
      </c>
      <c r="IL48" s="137">
        <f>$I$48*$J$28*$F$28*0.1295</f>
        <v>42735</v>
      </c>
      <c r="IM48" s="137"/>
      <c r="IN48" s="138"/>
      <c r="IO48" s="138">
        <f>SUM(HY48:IN48)</f>
        <v>357808.5</v>
      </c>
      <c r="IP48" s="38">
        <f>SUM(AB48,BJ48,CR48,DZ48,FH48,GP48,HX48)*(1+$E$10)^-16</f>
        <v>11856486.230473071</v>
      </c>
      <c r="IQ48" s="142">
        <f>SUM(AG48,BO48,CW48,EE48,FM48,GU48,IC48)*(1+$E$10)^-16</f>
        <v>421857.28621385986</v>
      </c>
      <c r="IR48" s="142">
        <f>SUM(AH48:AP48,BP48:BX48,CX48:DF48,EF48:EN48,FN48:FV48,GV48:HD48,ID48:IL48)*(1+$E$10)^-16</f>
        <v>3617641.728952269</v>
      </c>
      <c r="IS48" s="196">
        <f>SUM(AS48,CA48,DI48,EQ48,FY48,HG48,IO48)*(1+$E$10)^-16</f>
        <v>4039499.015166129</v>
      </c>
      <c r="IT48" s="159">
        <f t="shared" si="43"/>
        <v>7816987.215306942</v>
      </c>
    </row>
    <row r="49" spans="1:254" ht="15.75">
      <c r="A49" s="9">
        <v>2012</v>
      </c>
      <c r="B49" s="49">
        <v>2019</v>
      </c>
      <c r="C49" s="31">
        <v>486</v>
      </c>
      <c r="D49" s="31">
        <v>167</v>
      </c>
      <c r="E49" s="31">
        <v>2356</v>
      </c>
      <c r="F49" s="31">
        <v>785</v>
      </c>
      <c r="G49" s="31">
        <v>412</v>
      </c>
      <c r="H49" s="31">
        <v>137</v>
      </c>
      <c r="I49" s="31">
        <v>174</v>
      </c>
      <c r="J49" s="84">
        <f t="shared" si="27"/>
        <v>3864</v>
      </c>
      <c r="K49" s="86">
        <f t="shared" si="28"/>
        <v>4517</v>
      </c>
      <c r="L49" s="84"/>
      <c r="M49" s="84"/>
      <c r="N49" s="84"/>
      <c r="O49" s="36"/>
      <c r="P49" s="36"/>
      <c r="Q49" s="36">
        <f t="shared" si="44"/>
        <v>168868</v>
      </c>
      <c r="R49" s="36">
        <f t="shared" si="51"/>
        <v>176120</v>
      </c>
      <c r="S49" s="36">
        <f t="shared" si="58"/>
        <v>184408</v>
      </c>
      <c r="T49" s="36">
        <f t="shared" si="65"/>
        <v>192696</v>
      </c>
      <c r="U49" s="36">
        <f t="shared" si="72"/>
        <v>201502</v>
      </c>
      <c r="V49" s="36">
        <f t="shared" si="79"/>
        <v>210826</v>
      </c>
      <c r="W49" s="36">
        <f t="shared" si="86"/>
        <v>220668</v>
      </c>
      <c r="X49" s="36">
        <f t="shared" si="93"/>
        <v>230510</v>
      </c>
      <c r="Y49" s="36">
        <f t="shared" si="100"/>
        <v>240870</v>
      </c>
      <c r="Z49" s="36">
        <f aca="true" t="shared" si="107" ref="Z49:Z58">$C$49*$F$26*0.1295</f>
        <v>251748</v>
      </c>
      <c r="AA49" s="47"/>
      <c r="AB49" s="78">
        <f t="shared" si="1"/>
        <v>2078216</v>
      </c>
      <c r="AC49" s="139"/>
      <c r="AD49" s="139"/>
      <c r="AE49" s="139"/>
      <c r="AF49" s="137"/>
      <c r="AG49" s="137"/>
      <c r="AH49" s="137">
        <f>$C$40*$S$26*$F$26*0.1295</f>
        <v>67547.2</v>
      </c>
      <c r="AI49" s="137">
        <f>$C$41*$R$26*$F$26*0.1295</f>
        <v>70448</v>
      </c>
      <c r="AJ49" s="137">
        <f>$C$42*$Q$26*$F$26*0.1295</f>
        <v>73763.2</v>
      </c>
      <c r="AK49" s="137">
        <f>$C$43*$P$26*$F$26*0.1295</f>
        <v>77078.40000000001</v>
      </c>
      <c r="AL49" s="137">
        <f>$C$44*$O$26*$F$26*0.1295</f>
        <v>80600.80000000002</v>
      </c>
      <c r="AM49" s="137">
        <f>$C$45*$N$26*$F$26*0.1295</f>
        <v>84330.40000000001</v>
      </c>
      <c r="AN49" s="137">
        <f>$C$46*$M$26*$F$26*0.1295</f>
        <v>88267.2</v>
      </c>
      <c r="AO49" s="137">
        <f>$C$47*$L$26*$F$26*0.1295</f>
        <v>92204</v>
      </c>
      <c r="AP49" s="137">
        <f>$C$48*$K$26*$F$26*0.1295</f>
        <v>96348</v>
      </c>
      <c r="AQ49" s="137">
        <f>$C$49*$J$26*$F$26*0.1295</f>
        <v>100699.2</v>
      </c>
      <c r="AR49" s="138"/>
      <c r="AS49" s="142">
        <f t="shared" si="2"/>
        <v>831286.4</v>
      </c>
      <c r="AT49" s="143"/>
      <c r="AU49" s="143"/>
      <c r="AV49" s="143"/>
      <c r="AW49" s="81"/>
      <c r="AX49" s="36"/>
      <c r="AY49" s="36">
        <f t="shared" si="45"/>
        <v>74592</v>
      </c>
      <c r="AZ49" s="36">
        <f t="shared" si="52"/>
        <v>76923</v>
      </c>
      <c r="BA49" s="36">
        <f t="shared" si="59"/>
        <v>79254</v>
      </c>
      <c r="BB49" s="36">
        <f t="shared" si="66"/>
        <v>81585</v>
      </c>
      <c r="BC49" s="36">
        <f t="shared" si="73"/>
        <v>83916</v>
      </c>
      <c r="BD49" s="36">
        <f t="shared" si="80"/>
        <v>86247</v>
      </c>
      <c r="BE49" s="36">
        <f t="shared" si="87"/>
        <v>89160.75</v>
      </c>
      <c r="BF49" s="36">
        <f t="shared" si="94"/>
        <v>91491.75</v>
      </c>
      <c r="BG49" s="36">
        <f t="shared" si="101"/>
        <v>94405.5</v>
      </c>
      <c r="BH49" s="36">
        <f aca="true" t="shared" si="108" ref="BH49:BH58">$D$49*$F$27*0.1295</f>
        <v>97319.25</v>
      </c>
      <c r="BI49" s="47"/>
      <c r="BJ49" s="47">
        <f t="shared" si="4"/>
        <v>854894.25</v>
      </c>
      <c r="BK49" s="139"/>
      <c r="BL49" s="139"/>
      <c r="BM49" s="139"/>
      <c r="BN49" s="139"/>
      <c r="BO49" s="137"/>
      <c r="BP49" s="137">
        <f>$D$40*$S$27*$F$27*0.1295</f>
        <v>29836.8</v>
      </c>
      <c r="BQ49" s="137">
        <f>$D$41*$R$27*$F$27*0.1295</f>
        <v>30769.200000000004</v>
      </c>
      <c r="BR49" s="137">
        <f>$D$42*$Q$27*$F$27*0.1295</f>
        <v>31701.600000000006</v>
      </c>
      <c r="BS49" s="137">
        <f>$D$43*$P$27*$F$27*0.1295</f>
        <v>32634</v>
      </c>
      <c r="BT49" s="137">
        <f>$D$44*$O$27*$F$27*0.1295</f>
        <v>33566.4</v>
      </c>
      <c r="BU49" s="137">
        <f>$D$45*$N$27*$F$27*0.1295</f>
        <v>34498.8</v>
      </c>
      <c r="BV49" s="137">
        <f>$D$46*$M$27*$F$27*0.1295</f>
        <v>35664.3</v>
      </c>
      <c r="BW49" s="137">
        <f>$D$47*$L$27*$F$27*0.1295</f>
        <v>36596.700000000004</v>
      </c>
      <c r="BX49" s="137">
        <f>$D$48*$K$27*$F$27*0.1295</f>
        <v>37762.200000000004</v>
      </c>
      <c r="BY49" s="137">
        <f>$D$49*$J$27*$F$27*0.1295</f>
        <v>38927.700000000004</v>
      </c>
      <c r="BZ49" s="138"/>
      <c r="CA49" s="142">
        <f t="shared" si="5"/>
        <v>341957.7</v>
      </c>
      <c r="CB49" s="143"/>
      <c r="CC49" s="143"/>
      <c r="CD49" s="143"/>
      <c r="CE49" s="36"/>
      <c r="CF49" s="36"/>
      <c r="CG49" s="36">
        <f t="shared" si="46"/>
        <v>966717.5</v>
      </c>
      <c r="CH49" s="36">
        <f t="shared" si="53"/>
        <v>1017222.5</v>
      </c>
      <c r="CI49" s="36">
        <f t="shared" si="60"/>
        <v>1069670</v>
      </c>
      <c r="CJ49" s="36">
        <f t="shared" si="67"/>
        <v>1125355</v>
      </c>
      <c r="CK49" s="36">
        <f t="shared" si="74"/>
        <v>1184277.5</v>
      </c>
      <c r="CL49" s="36">
        <f t="shared" si="81"/>
        <v>1245790</v>
      </c>
      <c r="CM49" s="36">
        <f t="shared" si="88"/>
        <v>1310540</v>
      </c>
      <c r="CN49" s="36">
        <f t="shared" si="95"/>
        <v>1378527.5</v>
      </c>
      <c r="CO49" s="36">
        <f t="shared" si="102"/>
        <v>1450400</v>
      </c>
      <c r="CP49" s="36">
        <f aca="true" t="shared" si="109" ref="CP49:CP58">$E$49*$F$28*0.1295</f>
        <v>1525510</v>
      </c>
      <c r="CQ49" s="47"/>
      <c r="CR49" s="47">
        <f t="shared" si="7"/>
        <v>12274010</v>
      </c>
      <c r="CS49" s="139"/>
      <c r="CT49" s="139"/>
      <c r="CU49" s="139"/>
      <c r="CV49" s="137"/>
      <c r="CW49" s="137"/>
      <c r="CX49" s="137">
        <f>$E$40*$S$28*$F$28*0.1295</f>
        <v>386687</v>
      </c>
      <c r="CY49" s="137">
        <f>$E$41*$R$28*$F$28*0.1295</f>
        <v>406889.00000000006</v>
      </c>
      <c r="CZ49" s="137">
        <f>$E$42*$Q$28*$F$28*0.1295</f>
        <v>427868.00000000006</v>
      </c>
      <c r="DA49" s="137">
        <f>$E$43*$P$28*$F$28*0.1295</f>
        <v>450142</v>
      </c>
      <c r="DB49" s="137">
        <f>$E$44*$O$28*$F$28*0.1295</f>
        <v>473711</v>
      </c>
      <c r="DC49" s="137">
        <f>$E$45*$N$28*$F$28*0.1295</f>
        <v>498316</v>
      </c>
      <c r="DD49" s="137">
        <f>$E$46*$M$28*$F$28*0.1295</f>
        <v>524216</v>
      </c>
      <c r="DE49" s="137">
        <f>$E$47*$L$28*$F$28*0.1295</f>
        <v>551411</v>
      </c>
      <c r="DF49" s="137">
        <f>$E$48*$K$28*$F$28*0.1295</f>
        <v>580160</v>
      </c>
      <c r="DG49" s="137">
        <f>$E$49*$J$28*$F$28*0.1295</f>
        <v>610204</v>
      </c>
      <c r="DH49" s="138"/>
      <c r="DI49" s="142">
        <f t="shared" si="8"/>
        <v>4909604</v>
      </c>
      <c r="DJ49" s="143"/>
      <c r="DK49" s="143"/>
      <c r="DL49" s="143"/>
      <c r="DM49" s="143"/>
      <c r="DN49" s="36"/>
      <c r="DO49" s="36">
        <f t="shared" si="47"/>
        <v>322455</v>
      </c>
      <c r="DP49" s="36">
        <f t="shared" si="54"/>
        <v>339290</v>
      </c>
      <c r="DQ49" s="36">
        <f t="shared" si="61"/>
        <v>356772.5</v>
      </c>
      <c r="DR49" s="36">
        <f t="shared" si="68"/>
        <v>374902.5</v>
      </c>
      <c r="DS49" s="36">
        <f t="shared" si="75"/>
        <v>394975</v>
      </c>
      <c r="DT49" s="36">
        <f t="shared" si="82"/>
        <v>415047.5</v>
      </c>
      <c r="DU49" s="36">
        <f t="shared" si="89"/>
        <v>437062.5</v>
      </c>
      <c r="DV49" s="36">
        <f t="shared" si="96"/>
        <v>459725</v>
      </c>
      <c r="DW49" s="36">
        <f t="shared" si="103"/>
        <v>483682.5</v>
      </c>
      <c r="DX49" s="36">
        <f aca="true" t="shared" si="110" ref="DX49:DX58">$F$49*$F$28*0.1295</f>
        <v>508287.5</v>
      </c>
      <c r="DY49" s="47"/>
      <c r="DZ49" s="78">
        <f>SUM(DJ49:DY49)</f>
        <v>4092200</v>
      </c>
      <c r="EA49" s="139"/>
      <c r="EB49" s="139"/>
      <c r="EC49" s="139"/>
      <c r="ED49" s="139"/>
      <c r="EE49" s="137"/>
      <c r="EF49" s="137">
        <f>$F$40*$S$28*$F$28*0.1295</f>
        <v>128982.00000000001</v>
      </c>
      <c r="EG49" s="137">
        <f>$F$41*$R$28*$F$28*0.1295</f>
        <v>135716.00000000003</v>
      </c>
      <c r="EH49" s="137">
        <f>$F$42*$Q$28*$F$28*0.1295</f>
        <v>142709</v>
      </c>
      <c r="EI49" s="137">
        <f>$F$43*$P$28*$F$28*0.1295</f>
        <v>149961</v>
      </c>
      <c r="EJ49" s="137">
        <f>$F$44*$O$28*$F$28*0.1295</f>
        <v>157990</v>
      </c>
      <c r="EK49" s="137">
        <f>$F$45*$N$28*$F$28*0.1295</f>
        <v>166019.00000000003</v>
      </c>
      <c r="EL49" s="137">
        <f>$F$46*$M$28*$F$28*0.1295</f>
        <v>174825</v>
      </c>
      <c r="EM49" s="137">
        <f>$F$47*L$28*$F$28*0.1295</f>
        <v>183890</v>
      </c>
      <c r="EN49" s="137">
        <f>$F$48*$K$28*$F$28*0.1295</f>
        <v>193473</v>
      </c>
      <c r="EO49" s="137">
        <f>$F$49*$J$28*$F$28*0.1295</f>
        <v>203315</v>
      </c>
      <c r="EP49" s="138"/>
      <c r="EQ49" s="142">
        <f>SUM(EA49:EP49)</f>
        <v>1636880</v>
      </c>
      <c r="ER49" s="143"/>
      <c r="ES49" s="143"/>
      <c r="ET49" s="143"/>
      <c r="EU49" s="36"/>
      <c r="EV49" s="36"/>
      <c r="EW49" s="36">
        <f t="shared" si="48"/>
        <v>111370</v>
      </c>
      <c r="EX49" s="36">
        <f t="shared" si="55"/>
        <v>122377.5</v>
      </c>
      <c r="EY49" s="36">
        <f t="shared" si="62"/>
        <v>135327.5</v>
      </c>
      <c r="EZ49" s="36">
        <f t="shared" si="69"/>
        <v>148925</v>
      </c>
      <c r="FA49" s="36">
        <f t="shared" si="76"/>
        <v>164465</v>
      </c>
      <c r="FB49" s="36">
        <f t="shared" si="83"/>
        <v>180652.5</v>
      </c>
      <c r="FC49" s="36">
        <f t="shared" si="90"/>
        <v>199430</v>
      </c>
      <c r="FD49" s="36">
        <f t="shared" si="97"/>
        <v>219502.5</v>
      </c>
      <c r="FE49" s="36">
        <f t="shared" si="104"/>
        <v>242165</v>
      </c>
      <c r="FF49" s="36">
        <f aca="true" t="shared" si="111" ref="FF49:FF58">$G$49*$F$29*0.1295</f>
        <v>266770</v>
      </c>
      <c r="FG49" s="47"/>
      <c r="FH49" s="78">
        <f>SUM(ER49:FG49)</f>
        <v>1790985</v>
      </c>
      <c r="FI49" s="139"/>
      <c r="FJ49" s="139"/>
      <c r="FK49" s="139"/>
      <c r="FL49" s="137"/>
      <c r="FM49" s="137"/>
      <c r="FN49" s="137">
        <f>$G$40*$S$29*$F$29*0.1295</f>
        <v>44548</v>
      </c>
      <c r="FO49" s="137">
        <f>$G$41*$R$29*$F$29*0.1295</f>
        <v>48951.00000000001</v>
      </c>
      <c r="FP49" s="137">
        <f>$G$42*$Q$29*$F$29*0.1295</f>
        <v>54131.00000000001</v>
      </c>
      <c r="FQ49" s="137">
        <f>$G$43*$P$29*$F$29*0.1295</f>
        <v>59570</v>
      </c>
      <c r="FR49" s="137">
        <f>$G$44*$O$29*$F$29*0.1295</f>
        <v>65786.00000000001</v>
      </c>
      <c r="FS49" s="137">
        <f>$G$45*$N$29*$F$29*0.1295</f>
        <v>72261</v>
      </c>
      <c r="FT49" s="137">
        <f>$G$46*$M$29*$F$29*0.1295</f>
        <v>79772</v>
      </c>
      <c r="FU49" s="137">
        <f>$G$47*$L$29*$F$29*0.1295</f>
        <v>87801</v>
      </c>
      <c r="FV49" s="137">
        <f>$G$48*$K$29*$F$29*0.1295</f>
        <v>96866</v>
      </c>
      <c r="FW49" s="137">
        <f>$G$49*$J$29*$F$29*0.1295</f>
        <v>106708</v>
      </c>
      <c r="FX49" s="138"/>
      <c r="FY49" s="142">
        <f>SUM(FI49:FX49)</f>
        <v>716394</v>
      </c>
      <c r="FZ49" s="143"/>
      <c r="GA49" s="143"/>
      <c r="GB49" s="143"/>
      <c r="GC49" s="36"/>
      <c r="GD49" s="36"/>
      <c r="GE49" s="36">
        <f t="shared" si="49"/>
        <v>36907.5</v>
      </c>
      <c r="GF49" s="36">
        <f t="shared" si="56"/>
        <v>40792.5</v>
      </c>
      <c r="GG49" s="36">
        <f t="shared" si="63"/>
        <v>45325</v>
      </c>
      <c r="GH49" s="36">
        <f t="shared" si="70"/>
        <v>49857.5</v>
      </c>
      <c r="GI49" s="36">
        <f t="shared" si="77"/>
        <v>55037.5</v>
      </c>
      <c r="GJ49" s="36">
        <f t="shared" si="84"/>
        <v>60217.5</v>
      </c>
      <c r="GK49" s="36">
        <f t="shared" si="91"/>
        <v>66692.5</v>
      </c>
      <c r="GL49" s="36">
        <f t="shared" si="98"/>
        <v>73167.5</v>
      </c>
      <c r="GM49" s="36">
        <f t="shared" si="105"/>
        <v>80937.5</v>
      </c>
      <c r="GN49" s="36">
        <f aca="true" t="shared" si="112" ref="GN49:GN58">$H$49*$F$29*0.1295</f>
        <v>88707.5</v>
      </c>
      <c r="GO49" s="47"/>
      <c r="GP49" s="47">
        <f>SUM(FZ49:GO49)</f>
        <v>597642.5</v>
      </c>
      <c r="GQ49" s="139"/>
      <c r="GR49" s="139"/>
      <c r="GS49" s="139"/>
      <c r="GT49" s="137"/>
      <c r="GU49" s="137"/>
      <c r="GV49" s="137">
        <f>$H$40*$S$29*$F$29*0.1295</f>
        <v>14763</v>
      </c>
      <c r="GW49" s="137">
        <f>$H$41*$R$29*$F$29*0.1295</f>
        <v>16317.000000000002</v>
      </c>
      <c r="GX49" s="137">
        <f>$H$42*$Q$29*$F$29*0.1295</f>
        <v>18130</v>
      </c>
      <c r="GY49" s="137">
        <f>$H$43*$P$29*$F$29*0.1295</f>
        <v>19943</v>
      </c>
      <c r="GZ49" s="137">
        <f>$H$44*$O$29*$F$29*0.1295</f>
        <v>22015</v>
      </c>
      <c r="HA49" s="137">
        <f>$H$45*$N$29*$F$29*0.1295</f>
        <v>24087</v>
      </c>
      <c r="HB49" s="137">
        <f>$H$46*$M$29*$F$29*0.1295</f>
        <v>26677</v>
      </c>
      <c r="HC49" s="137">
        <f>$H$47*$L$29*$F$29*0.1295</f>
        <v>29267</v>
      </c>
      <c r="HD49" s="137">
        <f>$H$48*$K$29*$F$29*0.1295</f>
        <v>32375</v>
      </c>
      <c r="HE49" s="137">
        <f>$H$49*$J$29*$F$29*0.1295</f>
        <v>35483</v>
      </c>
      <c r="HF49" s="138"/>
      <c r="HG49" s="142">
        <f>SUM(GQ49:HF49)</f>
        <v>239057</v>
      </c>
      <c r="HH49" s="143"/>
      <c r="HI49" s="143"/>
      <c r="HJ49" s="143"/>
      <c r="HK49" s="81"/>
      <c r="HL49" s="36"/>
      <c r="HM49" s="36">
        <f t="shared" si="50"/>
        <v>71225</v>
      </c>
      <c r="HN49" s="36">
        <f t="shared" si="57"/>
        <v>75110</v>
      </c>
      <c r="HO49" s="36">
        <f t="shared" si="64"/>
        <v>78995</v>
      </c>
      <c r="HP49" s="36">
        <f t="shared" si="71"/>
        <v>82880</v>
      </c>
      <c r="HQ49" s="36">
        <f t="shared" si="78"/>
        <v>87412.5</v>
      </c>
      <c r="HR49" s="36">
        <f t="shared" si="85"/>
        <v>91945</v>
      </c>
      <c r="HS49" s="36">
        <f t="shared" si="92"/>
        <v>96477.5</v>
      </c>
      <c r="HT49" s="36">
        <f t="shared" si="99"/>
        <v>101657.5</v>
      </c>
      <c r="HU49" s="36">
        <f t="shared" si="106"/>
        <v>106837.5</v>
      </c>
      <c r="HV49" s="36">
        <f aca="true" t="shared" si="113" ref="HV49:HV58">$I$49*$F$28*0.1295</f>
        <v>112665</v>
      </c>
      <c r="HW49" s="36"/>
      <c r="HX49" s="47">
        <f>SUM(HH49:HW49)</f>
        <v>905205</v>
      </c>
      <c r="HY49" s="137"/>
      <c r="HZ49" s="137"/>
      <c r="IA49" s="139"/>
      <c r="IB49" s="139"/>
      <c r="IC49" s="137"/>
      <c r="ID49" s="137">
        <f>$I$40*$S$28*$F$28*0.1295</f>
        <v>28490</v>
      </c>
      <c r="IE49" s="137">
        <f>$I$41*$R$28*$F$28*0.1295</f>
        <v>30044.000000000004</v>
      </c>
      <c r="IF49" s="137">
        <f>$I$42*$Q$28*$F$28*0.1295</f>
        <v>31598.000000000004</v>
      </c>
      <c r="IG49" s="137">
        <f>$I$43*$P$28*$F$28*0.1295</f>
        <v>33152</v>
      </c>
      <c r="IH49" s="137">
        <f>$I$44*$O$28*$F$28*0.1295</f>
        <v>34965</v>
      </c>
      <c r="II49" s="137">
        <f>$I$45*$N$28*$F$28*0.1295</f>
        <v>36778</v>
      </c>
      <c r="IJ49" s="137">
        <f>$I$46*$M$28*$F$28*0.1295</f>
        <v>38591</v>
      </c>
      <c r="IK49" s="137">
        <f>$I$47*$L$28*$F$28*0.1295</f>
        <v>40663</v>
      </c>
      <c r="IL49" s="137">
        <f>$I$48*$K$28*$F$28*0.1295</f>
        <v>42735</v>
      </c>
      <c r="IM49" s="137">
        <f>$I$49*$J$28*$F$28*0.1295</f>
        <v>45066.00000000001</v>
      </c>
      <c r="IN49" s="138"/>
      <c r="IO49" s="138">
        <f>SUM(HY49:IN49)</f>
        <v>362082</v>
      </c>
      <c r="IP49" s="38">
        <f>SUM(AB49,BJ49,CR49,DZ49,FH49,GP49,HX49)*(1+$E$10)^-17</f>
        <v>9857317.70751113</v>
      </c>
      <c r="IQ49" s="142"/>
      <c r="IR49" s="142">
        <f>SUM(AH49:AQ49,BP49:BY49,CX49:DG49,EF49:EO49,FN49:FW49,GV49:HE49,ID49:IM49)*(1+$E$10)^-17</f>
        <v>3942927.0830044523</v>
      </c>
      <c r="IS49" s="196">
        <f>SUM(AS49,CA49,DI49,EQ49,FY49,HG49,IO49)*(1+$E$10)^-17</f>
        <v>3942927.0830044523</v>
      </c>
      <c r="IT49" s="159">
        <f t="shared" si="43"/>
        <v>5914390.624506678</v>
      </c>
    </row>
    <row r="50" spans="1:254" ht="15.75" customHeight="1">
      <c r="A50" s="121">
        <v>2013</v>
      </c>
      <c r="B50" s="122">
        <v>2020</v>
      </c>
      <c r="C50" s="123">
        <v>509</v>
      </c>
      <c r="D50" s="123">
        <v>172</v>
      </c>
      <c r="E50" s="124" t="s">
        <v>40</v>
      </c>
      <c r="F50" s="124" t="s">
        <v>40</v>
      </c>
      <c r="G50" s="124" t="s">
        <v>40</v>
      </c>
      <c r="H50" s="124" t="s">
        <v>40</v>
      </c>
      <c r="I50" s="124" t="s">
        <v>40</v>
      </c>
      <c r="J50" s="124" t="s">
        <v>40</v>
      </c>
      <c r="K50" s="125">
        <f t="shared" si="28"/>
        <v>681</v>
      </c>
      <c r="L50" s="123"/>
      <c r="M50" s="123"/>
      <c r="N50" s="123"/>
      <c r="O50" s="126"/>
      <c r="P50" s="126"/>
      <c r="Q50" s="126"/>
      <c r="R50" s="126">
        <f t="shared" si="51"/>
        <v>176120</v>
      </c>
      <c r="S50" s="126">
        <f t="shared" si="58"/>
        <v>184408</v>
      </c>
      <c r="T50" s="126">
        <f t="shared" si="65"/>
        <v>192696</v>
      </c>
      <c r="U50" s="126">
        <f t="shared" si="72"/>
        <v>201502</v>
      </c>
      <c r="V50" s="126">
        <f t="shared" si="79"/>
        <v>210826</v>
      </c>
      <c r="W50" s="126">
        <f t="shared" si="86"/>
        <v>220668</v>
      </c>
      <c r="X50" s="126">
        <f t="shared" si="93"/>
        <v>230510</v>
      </c>
      <c r="Y50" s="126">
        <f t="shared" si="100"/>
        <v>240870</v>
      </c>
      <c r="Z50" s="126">
        <f t="shared" si="107"/>
        <v>251748</v>
      </c>
      <c r="AA50" s="127">
        <f aca="true" t="shared" si="114" ref="AA50:AA59">$C$50*$F$26*0.1295</f>
        <v>263662</v>
      </c>
      <c r="AB50" s="78">
        <f t="shared" si="1"/>
        <v>2173010</v>
      </c>
      <c r="AC50" s="140"/>
      <c r="AD50" s="140"/>
      <c r="AE50" s="140"/>
      <c r="AF50" s="140"/>
      <c r="AG50" s="140"/>
      <c r="AH50" s="140"/>
      <c r="AI50" s="140">
        <f>$C$41*$S$26*$F$26*0.1295</f>
        <v>70448</v>
      </c>
      <c r="AJ50" s="140">
        <f>$C$42*$R$26*$F$26*0.1295</f>
        <v>73763.2</v>
      </c>
      <c r="AK50" s="140">
        <f>$C$43*$Q$26*$F$26*0.1295</f>
        <v>77078.40000000001</v>
      </c>
      <c r="AL50" s="140">
        <f>$C$44*$P$26*$F$26*0.1295</f>
        <v>80600.80000000002</v>
      </c>
      <c r="AM50" s="140">
        <f>$C$45*$O$26*$F$26*0.1295</f>
        <v>84330.40000000001</v>
      </c>
      <c r="AN50" s="140">
        <f>$C$46*$N$26*$F$26*0.1295</f>
        <v>88267.2</v>
      </c>
      <c r="AO50" s="140">
        <f>$C$47*$M$26*$F$26*0.1295</f>
        <v>92204</v>
      </c>
      <c r="AP50" s="140">
        <f>$C$48*$L$26*$F$26*0.1295</f>
        <v>96348</v>
      </c>
      <c r="AQ50" s="140">
        <f>$C$49*$K$26*$F$26*0.1295</f>
        <v>100699.2</v>
      </c>
      <c r="AR50" s="141">
        <f>$C$50*$J$26*$F$26*0.1295</f>
        <v>105464.80000000002</v>
      </c>
      <c r="AS50" s="142">
        <f t="shared" si="2"/>
        <v>869204</v>
      </c>
      <c r="AT50" s="144"/>
      <c r="AU50" s="144"/>
      <c r="AV50" s="144"/>
      <c r="AW50" s="126"/>
      <c r="AX50" s="126"/>
      <c r="AY50" s="126"/>
      <c r="AZ50" s="126">
        <f t="shared" si="52"/>
        <v>76923</v>
      </c>
      <c r="BA50" s="126">
        <f t="shared" si="59"/>
        <v>79254</v>
      </c>
      <c r="BB50" s="126">
        <f t="shared" si="66"/>
        <v>81585</v>
      </c>
      <c r="BC50" s="126">
        <f t="shared" si="73"/>
        <v>83916</v>
      </c>
      <c r="BD50" s="126">
        <f t="shared" si="80"/>
        <v>86247</v>
      </c>
      <c r="BE50" s="126">
        <f t="shared" si="87"/>
        <v>89160.75</v>
      </c>
      <c r="BF50" s="126">
        <f t="shared" si="94"/>
        <v>91491.75</v>
      </c>
      <c r="BG50" s="126">
        <f t="shared" si="101"/>
        <v>94405.5</v>
      </c>
      <c r="BH50" s="126">
        <f t="shared" si="108"/>
        <v>97319.25</v>
      </c>
      <c r="BI50" s="127">
        <f aca="true" t="shared" si="115" ref="BI50:BI59">$D$50*$F$27*0.1295</f>
        <v>100233</v>
      </c>
      <c r="BJ50" s="129">
        <f t="shared" si="4"/>
        <v>880535.25</v>
      </c>
      <c r="BK50" s="140"/>
      <c r="BL50" s="140"/>
      <c r="BM50" s="140"/>
      <c r="BN50" s="140"/>
      <c r="BO50" s="140"/>
      <c r="BP50" s="140"/>
      <c r="BQ50" s="140">
        <f>$D$41*$S$27*$F$27*0.1295</f>
        <v>30769.200000000004</v>
      </c>
      <c r="BR50" s="140">
        <f>$D$42*$R$27*$F$27*0.1295</f>
        <v>31701.600000000006</v>
      </c>
      <c r="BS50" s="140">
        <f>$D$43*$Q$27*$F$27*0.1295</f>
        <v>32634</v>
      </c>
      <c r="BT50" s="140">
        <f>$D$44*$P$27*$F$27*0.1295</f>
        <v>33566.4</v>
      </c>
      <c r="BU50" s="140">
        <f>$D$45*$O$27*$F$27*0.1295</f>
        <v>34498.8</v>
      </c>
      <c r="BV50" s="140">
        <f>$D$46*$N$27*$F$27*0.1295</f>
        <v>35664.3</v>
      </c>
      <c r="BW50" s="140">
        <f>$D$47*$M$27*$F$27*0.1295</f>
        <v>36596.700000000004</v>
      </c>
      <c r="BX50" s="140">
        <f>$D$48*$L$27*$F$27*0.1295</f>
        <v>37762.200000000004</v>
      </c>
      <c r="BY50" s="140">
        <f>$D$49*$K$27*$F$27*0.1295</f>
        <v>38927.700000000004</v>
      </c>
      <c r="BZ50" s="141">
        <f>$D$50*$J$27*$F$27*0.1295</f>
        <v>40093.200000000004</v>
      </c>
      <c r="CA50" s="156">
        <f t="shared" si="5"/>
        <v>352214.10000000003</v>
      </c>
      <c r="CB50" s="144"/>
      <c r="CC50" s="144"/>
      <c r="CD50" s="144"/>
      <c r="CE50" s="126"/>
      <c r="CF50" s="126"/>
      <c r="CG50" s="126"/>
      <c r="CH50" s="126">
        <f t="shared" si="53"/>
        <v>1017222.5</v>
      </c>
      <c r="CI50" s="126">
        <f t="shared" si="60"/>
        <v>1069670</v>
      </c>
      <c r="CJ50" s="126">
        <f t="shared" si="67"/>
        <v>1125355</v>
      </c>
      <c r="CK50" s="126">
        <f t="shared" si="74"/>
        <v>1184277.5</v>
      </c>
      <c r="CL50" s="126">
        <f t="shared" si="81"/>
        <v>1245790</v>
      </c>
      <c r="CM50" s="126">
        <f t="shared" si="88"/>
        <v>1310540</v>
      </c>
      <c r="CN50" s="126">
        <f t="shared" si="95"/>
        <v>1378527.5</v>
      </c>
      <c r="CO50" s="126">
        <f t="shared" si="102"/>
        <v>1450400</v>
      </c>
      <c r="CP50" s="126">
        <f t="shared" si="109"/>
        <v>1525510</v>
      </c>
      <c r="CQ50" s="127">
        <v>0</v>
      </c>
      <c r="CR50" s="47">
        <f t="shared" si="7"/>
        <v>11307292.5</v>
      </c>
      <c r="CS50" s="140"/>
      <c r="CT50" s="140"/>
      <c r="CU50" s="140"/>
      <c r="CV50" s="140"/>
      <c r="CW50" s="140"/>
      <c r="CX50" s="140"/>
      <c r="CY50" s="140">
        <f>$E$41*$S$28*$F$28*0.1295</f>
        <v>406889.00000000006</v>
      </c>
      <c r="CZ50" s="140">
        <f>$E$42*$R$28*$F$28*0.1295</f>
        <v>427868.00000000006</v>
      </c>
      <c r="DA50" s="140">
        <f>$E$43*$Q$28*$F$28*0.1295</f>
        <v>450142</v>
      </c>
      <c r="DB50" s="140">
        <f>$E$44*$P$28*$F$28*0.1295</f>
        <v>473711</v>
      </c>
      <c r="DC50" s="140">
        <f>$E$45*$O$28*$F$28*0.1295</f>
        <v>498316</v>
      </c>
      <c r="DD50" s="140">
        <f>$E$46*$N$28*$F$28*0.1295</f>
        <v>524216</v>
      </c>
      <c r="DE50" s="140">
        <f>$E$47*$M$28*$F$28*0.1295</f>
        <v>551411</v>
      </c>
      <c r="DF50" s="140">
        <f>$E$48*$L$28*$F$28*0.1295</f>
        <v>580160</v>
      </c>
      <c r="DG50" s="140">
        <f>$E$49*$K$28*$F$28*0.1295</f>
        <v>610204</v>
      </c>
      <c r="DH50" s="141">
        <v>0</v>
      </c>
      <c r="DI50" s="156">
        <f t="shared" si="8"/>
        <v>4522917</v>
      </c>
      <c r="DJ50" s="144"/>
      <c r="DK50" s="144"/>
      <c r="DL50" s="144"/>
      <c r="DM50" s="144"/>
      <c r="DN50" s="126"/>
      <c r="DO50" s="126"/>
      <c r="DP50" s="126">
        <f t="shared" si="54"/>
        <v>339290</v>
      </c>
      <c r="DQ50" s="126">
        <f t="shared" si="61"/>
        <v>356772.5</v>
      </c>
      <c r="DR50" s="126">
        <f t="shared" si="68"/>
        <v>374902.5</v>
      </c>
      <c r="DS50" s="126">
        <f t="shared" si="75"/>
        <v>394975</v>
      </c>
      <c r="DT50" s="126">
        <f t="shared" si="82"/>
        <v>415047.5</v>
      </c>
      <c r="DU50" s="126">
        <f t="shared" si="89"/>
        <v>437062.5</v>
      </c>
      <c r="DV50" s="126">
        <f t="shared" si="96"/>
        <v>459725</v>
      </c>
      <c r="DW50" s="126">
        <f t="shared" si="103"/>
        <v>483682.5</v>
      </c>
      <c r="DX50" s="126">
        <f t="shared" si="110"/>
        <v>508287.5</v>
      </c>
      <c r="DY50" s="127">
        <v>0</v>
      </c>
      <c r="DZ50" s="78">
        <f>SUM(DJ50:DY50)</f>
        <v>3769745</v>
      </c>
      <c r="EA50" s="140"/>
      <c r="EB50" s="140"/>
      <c r="EC50" s="140"/>
      <c r="ED50" s="140"/>
      <c r="EE50" s="140"/>
      <c r="EF50" s="140"/>
      <c r="EG50" s="140">
        <f>$F$41*$S$28*$F$28*0.1295</f>
        <v>135716.00000000003</v>
      </c>
      <c r="EH50" s="140">
        <f>$F$42*$R$28*$F$28*0.1295</f>
        <v>142709</v>
      </c>
      <c r="EI50" s="140">
        <f>$F$43*$Q$28*$F$28*0.1295</f>
        <v>149961</v>
      </c>
      <c r="EJ50" s="140">
        <f>$F$44*$P$28*$F$28*0.1295</f>
        <v>157990</v>
      </c>
      <c r="EK50" s="140">
        <f>$F$45*$O$28*$F$28*0.1295</f>
        <v>166019.00000000003</v>
      </c>
      <c r="EL50" s="140">
        <f>$F$46*$N$28*$F$28*0.1295</f>
        <v>174825</v>
      </c>
      <c r="EM50" s="140">
        <f>$F$47*M$28*$F$28*0.1295</f>
        <v>183890</v>
      </c>
      <c r="EN50" s="140">
        <f>$F$48*$L$28*$F$28*0.1295</f>
        <v>193473</v>
      </c>
      <c r="EO50" s="140">
        <f>$F$49*$K$28*$F$28*0.1295</f>
        <v>203315</v>
      </c>
      <c r="EP50" s="141">
        <v>0</v>
      </c>
      <c r="EQ50" s="156">
        <f>SUM(EA50:EP50)</f>
        <v>1507898</v>
      </c>
      <c r="ER50" s="144"/>
      <c r="ES50" s="144"/>
      <c r="ET50" s="144"/>
      <c r="EU50" s="126"/>
      <c r="EV50" s="126"/>
      <c r="EW50" s="126"/>
      <c r="EX50" s="126">
        <f t="shared" si="55"/>
        <v>122377.5</v>
      </c>
      <c r="EY50" s="126">
        <f t="shared" si="62"/>
        <v>135327.5</v>
      </c>
      <c r="EZ50" s="126">
        <f t="shared" si="69"/>
        <v>148925</v>
      </c>
      <c r="FA50" s="126">
        <f t="shared" si="76"/>
        <v>164465</v>
      </c>
      <c r="FB50" s="126">
        <f t="shared" si="83"/>
        <v>180652.5</v>
      </c>
      <c r="FC50" s="126">
        <f t="shared" si="90"/>
        <v>199430</v>
      </c>
      <c r="FD50" s="126">
        <f t="shared" si="97"/>
        <v>219502.5</v>
      </c>
      <c r="FE50" s="126">
        <f t="shared" si="104"/>
        <v>242165</v>
      </c>
      <c r="FF50" s="126">
        <f t="shared" si="111"/>
        <v>266770</v>
      </c>
      <c r="FG50" s="127">
        <v>0</v>
      </c>
      <c r="FH50" s="129">
        <f>SUM(ER50:FG50)</f>
        <v>1679615</v>
      </c>
      <c r="FI50" s="140"/>
      <c r="FJ50" s="140"/>
      <c r="FK50" s="140"/>
      <c r="FL50" s="140"/>
      <c r="FM50" s="140"/>
      <c r="FN50" s="140"/>
      <c r="FO50" s="140">
        <f>$G$41*$S$29*$F$29*0.1295</f>
        <v>48951.00000000001</v>
      </c>
      <c r="FP50" s="140">
        <f>$G$42*$R$29*$F$29*0.1295</f>
        <v>54131.00000000001</v>
      </c>
      <c r="FQ50" s="140">
        <f>$G$43*$Q$29*$F$29*0.1295</f>
        <v>59570</v>
      </c>
      <c r="FR50" s="140">
        <f>$G$44*$P$29*$F$29*0.1295</f>
        <v>65786.00000000001</v>
      </c>
      <c r="FS50" s="140">
        <f>$G$45*$O$29*$F$29*0.1295</f>
        <v>72261</v>
      </c>
      <c r="FT50" s="140">
        <f>$G$46*$N$29*$F$29*0.1295</f>
        <v>79772</v>
      </c>
      <c r="FU50" s="140">
        <f>$G$47*$M$29*$F$29*0.1295</f>
        <v>87801</v>
      </c>
      <c r="FV50" s="140">
        <f>$G$48*$L$29*$F$29*0.1295</f>
        <v>96866</v>
      </c>
      <c r="FW50" s="140">
        <f>$G$49*$K$29*$F$29*0.1295</f>
        <v>106708</v>
      </c>
      <c r="FX50" s="141">
        <v>0</v>
      </c>
      <c r="FY50" s="156">
        <f>SUM(FI50:FX50)</f>
        <v>671846</v>
      </c>
      <c r="FZ50" s="144"/>
      <c r="GA50" s="144"/>
      <c r="GB50" s="144"/>
      <c r="GC50" s="126"/>
      <c r="GD50" s="126"/>
      <c r="GE50" s="126"/>
      <c r="GF50" s="126">
        <f t="shared" si="56"/>
        <v>40792.5</v>
      </c>
      <c r="GG50" s="126">
        <f t="shared" si="63"/>
        <v>45325</v>
      </c>
      <c r="GH50" s="126">
        <f t="shared" si="70"/>
        <v>49857.5</v>
      </c>
      <c r="GI50" s="126">
        <f t="shared" si="77"/>
        <v>55037.5</v>
      </c>
      <c r="GJ50" s="126">
        <f t="shared" si="84"/>
        <v>60217.5</v>
      </c>
      <c r="GK50" s="126">
        <f t="shared" si="91"/>
        <v>66692.5</v>
      </c>
      <c r="GL50" s="126">
        <f t="shared" si="98"/>
        <v>73167.5</v>
      </c>
      <c r="GM50" s="126">
        <f t="shared" si="105"/>
        <v>80937.5</v>
      </c>
      <c r="GN50" s="126">
        <f t="shared" si="112"/>
        <v>88707.5</v>
      </c>
      <c r="GO50" s="127">
        <v>0</v>
      </c>
      <c r="GP50" s="47">
        <f>SUM(FZ50:GO50)</f>
        <v>560735</v>
      </c>
      <c r="GQ50" s="140"/>
      <c r="GR50" s="140"/>
      <c r="GS50" s="140"/>
      <c r="GT50" s="140"/>
      <c r="GU50" s="140"/>
      <c r="GV50" s="140"/>
      <c r="GW50" s="140">
        <f>$H$41*$S$29*$F$29*0.1295</f>
        <v>16317.000000000002</v>
      </c>
      <c r="GX50" s="140">
        <f>$H$42*$R$29*$F$29*0.1295</f>
        <v>18130</v>
      </c>
      <c r="GY50" s="140">
        <f>$H$43*$Q$29*$F$29*0.1295</f>
        <v>19943</v>
      </c>
      <c r="GZ50" s="140">
        <f>$H$44*$P$29*$F$29*0.1295</f>
        <v>22015</v>
      </c>
      <c r="HA50" s="140">
        <f>$H$45*$O$29*$F$29*0.1295</f>
        <v>24087</v>
      </c>
      <c r="HB50" s="140">
        <f>$H$46*$N$29*$F$29*0.1295</f>
        <v>26677</v>
      </c>
      <c r="HC50" s="140">
        <f>$H$47*$M$29*$F$29*0.1295</f>
        <v>29267</v>
      </c>
      <c r="HD50" s="140">
        <f>$H$48*$L$29*$F$29*0.1295</f>
        <v>32375</v>
      </c>
      <c r="HE50" s="140">
        <f>$H$49*$K$29*$F$29*0.1295</f>
        <v>35483</v>
      </c>
      <c r="HF50" s="141">
        <v>0</v>
      </c>
      <c r="HG50" s="142">
        <f>SUM(GQ50:HF50)</f>
        <v>224294</v>
      </c>
      <c r="HH50" s="144"/>
      <c r="HI50" s="144"/>
      <c r="HJ50" s="144"/>
      <c r="HK50" s="126"/>
      <c r="HL50" s="126"/>
      <c r="HM50" s="126"/>
      <c r="HN50" s="126">
        <f t="shared" si="57"/>
        <v>75110</v>
      </c>
      <c r="HO50" s="126">
        <f t="shared" si="64"/>
        <v>78995</v>
      </c>
      <c r="HP50" s="126">
        <f t="shared" si="71"/>
        <v>82880</v>
      </c>
      <c r="HQ50" s="126">
        <f t="shared" si="78"/>
        <v>87412.5</v>
      </c>
      <c r="HR50" s="126">
        <f t="shared" si="85"/>
        <v>91945</v>
      </c>
      <c r="HS50" s="126">
        <f t="shared" si="92"/>
        <v>96477.5</v>
      </c>
      <c r="HT50" s="126">
        <f t="shared" si="99"/>
        <v>101657.5</v>
      </c>
      <c r="HU50" s="126">
        <f t="shared" si="106"/>
        <v>106837.5</v>
      </c>
      <c r="HV50" s="126">
        <f t="shared" si="113"/>
        <v>112665</v>
      </c>
      <c r="HW50" s="126">
        <v>0</v>
      </c>
      <c r="HX50" s="127">
        <f>SUM(HH50:HW50)</f>
        <v>833980</v>
      </c>
      <c r="HY50" s="140"/>
      <c r="HZ50" s="140"/>
      <c r="IA50" s="140"/>
      <c r="IB50" s="140"/>
      <c r="IC50" s="140"/>
      <c r="ID50" s="140"/>
      <c r="IE50" s="140">
        <f>$I$41*$S$28*$F$28*0.1295</f>
        <v>30044.000000000004</v>
      </c>
      <c r="IF50" s="140">
        <f>$I$42*$R$28*$F$28*0.1295</f>
        <v>31598.000000000004</v>
      </c>
      <c r="IG50" s="140">
        <f>$I$43*$Q$28*$F$28*0.1295</f>
        <v>33152</v>
      </c>
      <c r="IH50" s="140">
        <f>$I$44*$P$28*$F$28*0.1295</f>
        <v>34965</v>
      </c>
      <c r="II50" s="140">
        <f>$I$45*$O$28*$F$28*0.1295</f>
        <v>36778</v>
      </c>
      <c r="IJ50" s="140">
        <f>$I$46*$N$28*$F$28*0.1295</f>
        <v>38591</v>
      </c>
      <c r="IK50" s="140">
        <f>$I$47*$M$28*$F$28*0.1295</f>
        <v>40663</v>
      </c>
      <c r="IL50" s="140">
        <f>$I$48*$L$28*$F$28*0.1295</f>
        <v>42735</v>
      </c>
      <c r="IM50" s="140">
        <f>$I$49*$K$28*$F$28*0.1295</f>
        <v>45066.00000000001</v>
      </c>
      <c r="IN50" s="141">
        <v>0</v>
      </c>
      <c r="IO50" s="156">
        <f>SUM(HY50:IN50)</f>
        <v>333592</v>
      </c>
      <c r="IP50" s="128">
        <f>SUM(AB50,BJ50,CR50,DZ50,FH50,GP50,HX50)*(1+$E$10)^-18</f>
        <v>8811079.232287843</v>
      </c>
      <c r="IQ50" s="156"/>
      <c r="IR50" s="156">
        <f>SUM(AI50:AR50,BQ50:BZ50,CY50:DH50,EG50:EP50,FO50:FX50,GW50:HF50,IE50:IN50)*(1+$E$10)^-18</f>
        <v>3524431.692915137</v>
      </c>
      <c r="IS50" s="197">
        <f>SUM(AS50,CA50,DI50,EQ50,FY50,HG50,IO50)*(1+$E$10)^-18</f>
        <v>3524431.692915137</v>
      </c>
      <c r="IT50" s="160">
        <f t="shared" si="43"/>
        <v>5286647.539372706</v>
      </c>
    </row>
    <row r="51" spans="1:254" ht="18.75">
      <c r="A51" s="9"/>
      <c r="B51" s="49">
        <v>2021</v>
      </c>
      <c r="C51" s="79" t="s">
        <v>40</v>
      </c>
      <c r="D51" s="79" t="s">
        <v>40</v>
      </c>
      <c r="E51" s="79" t="s">
        <v>40</v>
      </c>
      <c r="F51" s="79" t="s">
        <v>40</v>
      </c>
      <c r="G51" s="79" t="s">
        <v>40</v>
      </c>
      <c r="H51" s="79" t="s">
        <v>40</v>
      </c>
      <c r="I51" s="79" t="s">
        <v>40</v>
      </c>
      <c r="J51" s="79" t="s">
        <v>40</v>
      </c>
      <c r="K51" s="80" t="s">
        <v>40</v>
      </c>
      <c r="L51" s="79"/>
      <c r="M51" s="79"/>
      <c r="N51" s="79"/>
      <c r="O51" s="36"/>
      <c r="P51" s="36"/>
      <c r="Q51" s="36"/>
      <c r="R51" s="36"/>
      <c r="S51" s="36">
        <f t="shared" si="58"/>
        <v>184408</v>
      </c>
      <c r="T51" s="36">
        <f t="shared" si="65"/>
        <v>192696</v>
      </c>
      <c r="U51" s="36">
        <f t="shared" si="72"/>
        <v>201502</v>
      </c>
      <c r="V51" s="36">
        <f t="shared" si="79"/>
        <v>210826</v>
      </c>
      <c r="W51" s="36">
        <f t="shared" si="86"/>
        <v>220668</v>
      </c>
      <c r="X51" s="36">
        <f t="shared" si="93"/>
        <v>230510</v>
      </c>
      <c r="Y51" s="36">
        <f t="shared" si="100"/>
        <v>240870</v>
      </c>
      <c r="Z51" s="36">
        <f t="shared" si="107"/>
        <v>251748</v>
      </c>
      <c r="AA51" s="36">
        <f t="shared" si="114"/>
        <v>263662</v>
      </c>
      <c r="AB51" s="78">
        <f t="shared" si="1"/>
        <v>1996890</v>
      </c>
      <c r="AC51" s="139"/>
      <c r="AD51" s="139"/>
      <c r="AE51" s="139"/>
      <c r="AF51" s="137"/>
      <c r="AG51" s="137"/>
      <c r="AH51" s="137"/>
      <c r="AI51" s="137"/>
      <c r="AJ51" s="137">
        <f>$C$42*$S$26*$F$26*0.1295</f>
        <v>73763.2</v>
      </c>
      <c r="AK51" s="137">
        <f>$C$43*$R$26*$F$26*0.1295</f>
        <v>77078.40000000001</v>
      </c>
      <c r="AL51" s="137">
        <f>$C$44*$Q$26*$F$26*0.1295</f>
        <v>80600.80000000002</v>
      </c>
      <c r="AM51" s="137">
        <f>$C$45*$P$26*$F$26*0.1295</f>
        <v>84330.40000000001</v>
      </c>
      <c r="AN51" s="137">
        <f>$C$46*$O$26*$F$26*0.1295</f>
        <v>88267.2</v>
      </c>
      <c r="AO51" s="137">
        <f>$C$47*$N$26*$F$26*0.1295</f>
        <v>92204</v>
      </c>
      <c r="AP51" s="137">
        <f>$C$48*$M$26*$F$26*0.1295</f>
        <v>96348</v>
      </c>
      <c r="AQ51" s="137">
        <f>$C$49*$L$26*$F$26*0.1295</f>
        <v>100699.2</v>
      </c>
      <c r="AR51" s="139">
        <f>$C$50*$K$26*$F$26*0.1295</f>
        <v>105464.80000000002</v>
      </c>
      <c r="AS51" s="142">
        <f t="shared" si="2"/>
        <v>798756</v>
      </c>
      <c r="AT51" s="143"/>
      <c r="AU51" s="143"/>
      <c r="AV51" s="143"/>
      <c r="AW51" s="81"/>
      <c r="AX51" s="36"/>
      <c r="AY51" s="36"/>
      <c r="AZ51" s="36"/>
      <c r="BA51" s="36">
        <f t="shared" si="59"/>
        <v>79254</v>
      </c>
      <c r="BB51" s="36">
        <f t="shared" si="66"/>
        <v>81585</v>
      </c>
      <c r="BC51" s="36">
        <f t="shared" si="73"/>
        <v>83916</v>
      </c>
      <c r="BD51" s="36">
        <f t="shared" si="80"/>
        <v>86247</v>
      </c>
      <c r="BE51" s="36">
        <f t="shared" si="87"/>
        <v>89160.75</v>
      </c>
      <c r="BF51" s="36">
        <f t="shared" si="94"/>
        <v>91491.75</v>
      </c>
      <c r="BG51" s="36">
        <f t="shared" si="101"/>
        <v>94405.5</v>
      </c>
      <c r="BH51" s="36">
        <f t="shared" si="108"/>
        <v>97319.25</v>
      </c>
      <c r="BI51" s="81">
        <f t="shared" si="115"/>
        <v>100233</v>
      </c>
      <c r="BJ51" s="161">
        <f t="shared" si="4"/>
        <v>803612.25</v>
      </c>
      <c r="BK51" s="139"/>
      <c r="BL51" s="139"/>
      <c r="BM51" s="139"/>
      <c r="BN51" s="139"/>
      <c r="BO51" s="137"/>
      <c r="BP51" s="137"/>
      <c r="BQ51" s="137"/>
      <c r="BR51" s="137">
        <f>$D$42*$S$27*$F$27*0.1295</f>
        <v>31701.600000000006</v>
      </c>
      <c r="BS51" s="137">
        <f>$D$43*$R$27*$F$27*0.1295</f>
        <v>32634</v>
      </c>
      <c r="BT51" s="137">
        <f>$D$44*$Q$27*$F$27*0.1295</f>
        <v>33566.4</v>
      </c>
      <c r="BU51" s="137">
        <f>$D$45*$P$27*$F$27*0.1295</f>
        <v>34498.8</v>
      </c>
      <c r="BV51" s="137">
        <f>$D$46*$O$27*$F$27*0.1295</f>
        <v>35664.3</v>
      </c>
      <c r="BW51" s="137">
        <f>$D$47*$N$27*$F$27*0.1295</f>
        <v>36596.700000000004</v>
      </c>
      <c r="BX51" s="137">
        <f>$D$48*$M$27*$F$27*0.1295</f>
        <v>37762.200000000004</v>
      </c>
      <c r="BY51" s="137">
        <f>$D$49*$L$27*$F$27*0.1295</f>
        <v>38927.700000000004</v>
      </c>
      <c r="BZ51" s="139">
        <f>$D$50*$K$27*$F$27*0.1295</f>
        <v>40093.200000000004</v>
      </c>
      <c r="CA51" s="138">
        <f t="shared" si="5"/>
        <v>321444.9</v>
      </c>
      <c r="CB51" s="143"/>
      <c r="CC51" s="143"/>
      <c r="CD51" s="143"/>
      <c r="CE51" s="36"/>
      <c r="CF51" s="36"/>
      <c r="CG51" s="36"/>
      <c r="CH51" s="36"/>
      <c r="CI51" s="36">
        <f t="shared" si="60"/>
        <v>1069670</v>
      </c>
      <c r="CJ51" s="36">
        <f t="shared" si="67"/>
        <v>1125355</v>
      </c>
      <c r="CK51" s="36">
        <f t="shared" si="74"/>
        <v>1184277.5</v>
      </c>
      <c r="CL51" s="36">
        <f t="shared" si="81"/>
        <v>1245790</v>
      </c>
      <c r="CM51" s="36">
        <f t="shared" si="88"/>
        <v>1310540</v>
      </c>
      <c r="CN51" s="36">
        <f t="shared" si="95"/>
        <v>1378527.5</v>
      </c>
      <c r="CO51" s="36">
        <f t="shared" si="102"/>
        <v>1450400</v>
      </c>
      <c r="CP51" s="36">
        <f t="shared" si="109"/>
        <v>1525510</v>
      </c>
      <c r="CQ51" s="81">
        <v>0</v>
      </c>
      <c r="CR51" s="47">
        <f t="shared" si="7"/>
        <v>10290070</v>
      </c>
      <c r="CS51" s="139"/>
      <c r="CT51" s="139"/>
      <c r="CU51" s="139"/>
      <c r="CV51" s="137"/>
      <c r="CW51" s="137"/>
      <c r="CX51" s="137"/>
      <c r="CY51" s="137"/>
      <c r="CZ51" s="137">
        <f>$E$42*$S$28*$F$28*0.1295</f>
        <v>427868.00000000006</v>
      </c>
      <c r="DA51" s="137">
        <f>$E$43*$R$28*$F$28*0.1295</f>
        <v>450142</v>
      </c>
      <c r="DB51" s="137">
        <f>$E$44*$Q$28*$F$28*0.1295</f>
        <v>473711</v>
      </c>
      <c r="DC51" s="137">
        <f>$E$45*$P$28*$F$28*0.1295</f>
        <v>498316</v>
      </c>
      <c r="DD51" s="137">
        <f>$E$46*$O$28*$F$28*0.1295</f>
        <v>524216</v>
      </c>
      <c r="DE51" s="137">
        <f>$E$47*$N$28*$F$28*0.1295</f>
        <v>551411</v>
      </c>
      <c r="DF51" s="137">
        <f>$E$48*$M$28*$F$28*0.1295</f>
        <v>580160</v>
      </c>
      <c r="DG51" s="137">
        <f>$E$49*$L$28*$F$28*0.1295</f>
        <v>610204</v>
      </c>
      <c r="DH51" s="139">
        <v>0</v>
      </c>
      <c r="DI51" s="138">
        <f t="shared" si="8"/>
        <v>4116028</v>
      </c>
      <c r="DJ51" s="143"/>
      <c r="DK51" s="143"/>
      <c r="DL51" s="143"/>
      <c r="DM51" s="143"/>
      <c r="DN51" s="36"/>
      <c r="DO51" s="36"/>
      <c r="DP51" s="36"/>
      <c r="DQ51" s="36">
        <f t="shared" si="61"/>
        <v>356772.5</v>
      </c>
      <c r="DR51" s="36">
        <f t="shared" si="68"/>
        <v>374902.5</v>
      </c>
      <c r="DS51" s="36">
        <f t="shared" si="75"/>
        <v>394975</v>
      </c>
      <c r="DT51" s="36">
        <f t="shared" si="82"/>
        <v>415047.5</v>
      </c>
      <c r="DU51" s="36">
        <f t="shared" si="89"/>
        <v>437062.5</v>
      </c>
      <c r="DV51" s="36">
        <f t="shared" si="96"/>
        <v>459725</v>
      </c>
      <c r="DW51" s="36">
        <f t="shared" si="103"/>
        <v>483682.5</v>
      </c>
      <c r="DX51" s="36">
        <f t="shared" si="110"/>
        <v>508287.5</v>
      </c>
      <c r="DY51" s="81">
        <v>0</v>
      </c>
      <c r="DZ51" s="78">
        <f>SUM(DJ51:DY51)</f>
        <v>3430455</v>
      </c>
      <c r="EA51" s="139"/>
      <c r="EB51" s="139"/>
      <c r="EC51" s="139"/>
      <c r="ED51" s="139"/>
      <c r="EE51" s="137"/>
      <c r="EF51" s="137"/>
      <c r="EG51" s="137"/>
      <c r="EH51" s="137">
        <f>$F$42*$S$28*$F$28*0.1295</f>
        <v>142709</v>
      </c>
      <c r="EI51" s="137">
        <f>$F$43*$R$28*$F$28*0.1295</f>
        <v>149961</v>
      </c>
      <c r="EJ51" s="137">
        <f>$F$44*$Q$28*$F$28*0.1295</f>
        <v>157990</v>
      </c>
      <c r="EK51" s="137">
        <f>$F$45*$P$28*$F$28*0.1295</f>
        <v>166019.00000000003</v>
      </c>
      <c r="EL51" s="137">
        <f>$F$46*$O$28*$F$28*0.1295</f>
        <v>174825</v>
      </c>
      <c r="EM51" s="137">
        <f>$F$47*N$28*$F$28*0.1295</f>
        <v>183890</v>
      </c>
      <c r="EN51" s="137">
        <f>$F$48*$M$28*$F$28*0.1295</f>
        <v>193473</v>
      </c>
      <c r="EO51" s="137">
        <f>$F$49*$L$28*$F$28*0.1295</f>
        <v>203315</v>
      </c>
      <c r="EP51" s="139">
        <v>0</v>
      </c>
      <c r="EQ51" s="138">
        <f>SUM(EA51:EP51)</f>
        <v>1372182</v>
      </c>
      <c r="ER51" s="143"/>
      <c r="ES51" s="143"/>
      <c r="ET51" s="143"/>
      <c r="EU51" s="36"/>
      <c r="EV51" s="36"/>
      <c r="EW51" s="36"/>
      <c r="EX51" s="36"/>
      <c r="EY51" s="36">
        <f t="shared" si="62"/>
        <v>135327.5</v>
      </c>
      <c r="EZ51" s="36">
        <f t="shared" si="69"/>
        <v>148925</v>
      </c>
      <c r="FA51" s="36">
        <f t="shared" si="76"/>
        <v>164465</v>
      </c>
      <c r="FB51" s="36">
        <f t="shared" si="83"/>
        <v>180652.5</v>
      </c>
      <c r="FC51" s="36">
        <f t="shared" si="90"/>
        <v>199430</v>
      </c>
      <c r="FD51" s="36">
        <f t="shared" si="97"/>
        <v>219502.5</v>
      </c>
      <c r="FE51" s="36">
        <f t="shared" si="104"/>
        <v>242165</v>
      </c>
      <c r="FF51" s="36">
        <f t="shared" si="111"/>
        <v>266770</v>
      </c>
      <c r="FG51" s="81">
        <v>0</v>
      </c>
      <c r="FH51" s="47">
        <f>SUM(ER51:FG51)</f>
        <v>1557237.5</v>
      </c>
      <c r="FI51" s="139"/>
      <c r="FJ51" s="139"/>
      <c r="FK51" s="139"/>
      <c r="FL51" s="137"/>
      <c r="FM51" s="137"/>
      <c r="FN51" s="137"/>
      <c r="FO51" s="137"/>
      <c r="FP51" s="137">
        <f>$G$42*$S$29*$F$29*0.1295</f>
        <v>54131.00000000001</v>
      </c>
      <c r="FQ51" s="137">
        <f>$G$43*$R$29*$F$29*0.1295</f>
        <v>59570</v>
      </c>
      <c r="FR51" s="137">
        <f>$G$44*$Q$29*$F$29*0.1295</f>
        <v>65786.00000000001</v>
      </c>
      <c r="FS51" s="137">
        <f>$G$45*$P$29*$F$29*0.1295</f>
        <v>72261</v>
      </c>
      <c r="FT51" s="137">
        <f>$G$46*$O$29*$F$29*0.1295</f>
        <v>79772</v>
      </c>
      <c r="FU51" s="137">
        <f>$G$47*$N$29*$F$29*0.1295</f>
        <v>87801</v>
      </c>
      <c r="FV51" s="137">
        <f>$G$48*$M$29*$F$29*0.1295</f>
        <v>96866</v>
      </c>
      <c r="FW51" s="137">
        <f>$G$49*$L$29*$F$29*0.1295</f>
        <v>106708</v>
      </c>
      <c r="FX51" s="139">
        <v>0</v>
      </c>
      <c r="FY51" s="138">
        <f>SUM(FI51:FX51)</f>
        <v>622895</v>
      </c>
      <c r="FZ51" s="143"/>
      <c r="GA51" s="143"/>
      <c r="GB51" s="143"/>
      <c r="GC51" s="36"/>
      <c r="GD51" s="36"/>
      <c r="GE51" s="36"/>
      <c r="GF51" s="36"/>
      <c r="GG51" s="36">
        <f t="shared" si="63"/>
        <v>45325</v>
      </c>
      <c r="GH51" s="36">
        <f t="shared" si="70"/>
        <v>49857.5</v>
      </c>
      <c r="GI51" s="36">
        <f t="shared" si="77"/>
        <v>55037.5</v>
      </c>
      <c r="GJ51" s="36">
        <f t="shared" si="84"/>
        <v>60217.5</v>
      </c>
      <c r="GK51" s="36">
        <f t="shared" si="91"/>
        <v>66692.5</v>
      </c>
      <c r="GL51" s="36">
        <f t="shared" si="98"/>
        <v>73167.5</v>
      </c>
      <c r="GM51" s="36">
        <f t="shared" si="105"/>
        <v>80937.5</v>
      </c>
      <c r="GN51" s="36">
        <f t="shared" si="112"/>
        <v>88707.5</v>
      </c>
      <c r="GO51" s="81">
        <v>0</v>
      </c>
      <c r="GP51" s="47">
        <f>SUM(FZ51:GO51)</f>
        <v>519942.5</v>
      </c>
      <c r="GQ51" s="139"/>
      <c r="GR51" s="139"/>
      <c r="GS51" s="139"/>
      <c r="GT51" s="137"/>
      <c r="GU51" s="137"/>
      <c r="GV51" s="137"/>
      <c r="GW51" s="137"/>
      <c r="GX51" s="137">
        <f>$H$42*$S$29*$F$29*0.1295</f>
        <v>18130</v>
      </c>
      <c r="GY51" s="137">
        <f>$H$43*$R$29*$F$29*0.1295</f>
        <v>19943</v>
      </c>
      <c r="GZ51" s="137">
        <f>$H$44*$Q$29*$F$29*0.1295</f>
        <v>22015</v>
      </c>
      <c r="HA51" s="137">
        <f>$H$45*$P$29*$F$29*0.1295</f>
        <v>24087</v>
      </c>
      <c r="HB51" s="137">
        <f>$H$46*$O$29*$F$29*0.1295</f>
        <v>26677</v>
      </c>
      <c r="HC51" s="137">
        <f>$H$47*$N$29*$F$29*0.1295</f>
        <v>29267</v>
      </c>
      <c r="HD51" s="137">
        <f>$H$48*$M$29*$F$29*0.1295</f>
        <v>32375</v>
      </c>
      <c r="HE51" s="137">
        <f>$H$49*$L$29*$F$29*0.1295</f>
        <v>35483</v>
      </c>
      <c r="HF51" s="139">
        <v>0</v>
      </c>
      <c r="HG51" s="162">
        <f>SUM(GT51:HF51)</f>
        <v>207977</v>
      </c>
      <c r="HH51" s="143"/>
      <c r="HI51" s="143"/>
      <c r="HJ51" s="143"/>
      <c r="HK51" s="36"/>
      <c r="HL51" s="36"/>
      <c r="HM51" s="36"/>
      <c r="HN51" s="36"/>
      <c r="HO51" s="36">
        <f t="shared" si="64"/>
        <v>78995</v>
      </c>
      <c r="HP51" s="36">
        <f t="shared" si="71"/>
        <v>82880</v>
      </c>
      <c r="HQ51" s="36">
        <f t="shared" si="78"/>
        <v>87412.5</v>
      </c>
      <c r="HR51" s="36">
        <f t="shared" si="85"/>
        <v>91945</v>
      </c>
      <c r="HS51" s="36">
        <f t="shared" si="92"/>
        <v>96477.5</v>
      </c>
      <c r="HT51" s="36">
        <f t="shared" si="99"/>
        <v>101657.5</v>
      </c>
      <c r="HU51" s="36">
        <f t="shared" si="106"/>
        <v>106837.5</v>
      </c>
      <c r="HV51" s="36">
        <f t="shared" si="113"/>
        <v>112665</v>
      </c>
      <c r="HW51" s="36">
        <v>0</v>
      </c>
      <c r="HX51" s="161">
        <f>SUM(HH51:HW51)</f>
        <v>758870</v>
      </c>
      <c r="HY51" s="139"/>
      <c r="HZ51" s="139"/>
      <c r="IA51" s="139"/>
      <c r="IB51" s="137"/>
      <c r="IC51" s="137"/>
      <c r="ID51" s="137"/>
      <c r="IE51" s="137"/>
      <c r="IF51" s="137">
        <f>$I$42*$S$28*$F$28*0.1295</f>
        <v>31598.000000000004</v>
      </c>
      <c r="IG51" s="137">
        <f>$I$43*$R$28*$F$28*0.1295</f>
        <v>33152</v>
      </c>
      <c r="IH51" s="137">
        <f>$I$44*$Q$28*$F$28*0.1295</f>
        <v>34965</v>
      </c>
      <c r="II51" s="137">
        <f>$I$45*$P$28*$F$28*0.1295</f>
        <v>36778</v>
      </c>
      <c r="IJ51" s="137">
        <f>$I$46*$O$28*$F$28*0.1295</f>
        <v>38591</v>
      </c>
      <c r="IK51" s="137">
        <f>$I$47*$N$28*$F$28*0.1295</f>
        <v>40663</v>
      </c>
      <c r="IL51" s="137">
        <f>$I$48*$M$28*$F$28*0.1295</f>
        <v>42735</v>
      </c>
      <c r="IM51" s="137">
        <f>$I$49*$L$28*$F$28*0.1295</f>
        <v>45066.00000000001</v>
      </c>
      <c r="IN51" s="137">
        <v>0</v>
      </c>
      <c r="IO51" s="138">
        <f>SUM(HY51:IN51)</f>
        <v>303548</v>
      </c>
      <c r="IP51" s="38">
        <f>SUM(IP35:IP50)</f>
        <v>410491901.5422002</v>
      </c>
      <c r="IQ51" s="78">
        <f>SUM(IQ35:IQ50)</f>
        <v>51608828.10911787</v>
      </c>
      <c r="IR51" s="81">
        <f>SUM(IR35:IR50)</f>
        <v>26554923.54235417</v>
      </c>
      <c r="IS51" s="61">
        <f>SUM(IS35:IS50)</f>
        <v>78163751.65147203</v>
      </c>
      <c r="IT51" s="32">
        <f>SUM(IT35:IT50)</f>
        <v>332328149.8907282</v>
      </c>
    </row>
    <row r="52" spans="1:254" ht="18.75">
      <c r="A52" s="9"/>
      <c r="B52" s="49">
        <v>2022</v>
      </c>
      <c r="C52" s="79" t="s">
        <v>40</v>
      </c>
      <c r="D52" s="79" t="s">
        <v>40</v>
      </c>
      <c r="E52" s="79" t="s">
        <v>40</v>
      </c>
      <c r="F52" s="79" t="s">
        <v>40</v>
      </c>
      <c r="G52" s="79" t="s">
        <v>40</v>
      </c>
      <c r="H52" s="79" t="s">
        <v>40</v>
      </c>
      <c r="I52" s="79" t="s">
        <v>40</v>
      </c>
      <c r="J52" s="79" t="s">
        <v>40</v>
      </c>
      <c r="K52" s="80" t="s">
        <v>40</v>
      </c>
      <c r="L52" s="79"/>
      <c r="M52" s="79"/>
      <c r="N52" s="79"/>
      <c r="O52" s="36"/>
      <c r="P52" s="36"/>
      <c r="Q52" s="36"/>
      <c r="R52" s="36"/>
      <c r="S52" s="36"/>
      <c r="T52" s="36">
        <f t="shared" si="65"/>
        <v>192696</v>
      </c>
      <c r="U52" s="36">
        <f t="shared" si="72"/>
        <v>201502</v>
      </c>
      <c r="V52" s="36">
        <f t="shared" si="79"/>
        <v>210826</v>
      </c>
      <c r="W52" s="36">
        <f t="shared" si="86"/>
        <v>220668</v>
      </c>
      <c r="X52" s="36">
        <f t="shared" si="93"/>
        <v>230510</v>
      </c>
      <c r="Y52" s="36">
        <f t="shared" si="100"/>
        <v>240870</v>
      </c>
      <c r="Z52" s="36">
        <f t="shared" si="107"/>
        <v>251748</v>
      </c>
      <c r="AA52" s="36">
        <f t="shared" si="114"/>
        <v>263662</v>
      </c>
      <c r="AB52" s="78">
        <f t="shared" si="1"/>
        <v>1812482</v>
      </c>
      <c r="AC52" s="139"/>
      <c r="AD52" s="139"/>
      <c r="AE52" s="139"/>
      <c r="AF52" s="137"/>
      <c r="AG52" s="137"/>
      <c r="AH52" s="137"/>
      <c r="AI52" s="137"/>
      <c r="AJ52" s="137"/>
      <c r="AK52" s="137">
        <f>$C$43*$S$26*$F$26*0.1295</f>
        <v>77078.40000000001</v>
      </c>
      <c r="AL52" s="137">
        <f>$C$44*$R$26*$F$26*0.1295</f>
        <v>80600.80000000002</v>
      </c>
      <c r="AM52" s="137">
        <f>$C$45*$Q$26*$F$26*0.1295</f>
        <v>84330.40000000001</v>
      </c>
      <c r="AN52" s="137">
        <f>$C$46*$P$26*$F$26*0.1295</f>
        <v>88267.2</v>
      </c>
      <c r="AO52" s="137">
        <f>$C$47*$O$26*$F$26*0.1295</f>
        <v>92204</v>
      </c>
      <c r="AP52" s="137">
        <f>$C$48*$N$26*$F$26*0.1295</f>
        <v>96348</v>
      </c>
      <c r="AQ52" s="137">
        <f>$C$49*$M$26*$F$26*0.1295</f>
        <v>100699.2</v>
      </c>
      <c r="AR52" s="139">
        <f>$C$50*$L$26*$F$26*0.1295</f>
        <v>105464.80000000002</v>
      </c>
      <c r="AS52" s="142">
        <f t="shared" si="2"/>
        <v>724992.8</v>
      </c>
      <c r="AT52" s="143"/>
      <c r="AU52" s="143"/>
      <c r="AV52" s="143"/>
      <c r="AW52" s="81"/>
      <c r="AX52" s="36"/>
      <c r="AY52" s="36"/>
      <c r="AZ52" s="36"/>
      <c r="BA52" s="36"/>
      <c r="BB52" s="36">
        <f t="shared" si="66"/>
        <v>81585</v>
      </c>
      <c r="BC52" s="36">
        <f t="shared" si="73"/>
        <v>83916</v>
      </c>
      <c r="BD52" s="36">
        <f t="shared" si="80"/>
        <v>86247</v>
      </c>
      <c r="BE52" s="36">
        <f t="shared" si="87"/>
        <v>89160.75</v>
      </c>
      <c r="BF52" s="36">
        <f t="shared" si="94"/>
        <v>91491.75</v>
      </c>
      <c r="BG52" s="36">
        <f t="shared" si="101"/>
        <v>94405.5</v>
      </c>
      <c r="BH52" s="36">
        <f t="shared" si="108"/>
        <v>97319.25</v>
      </c>
      <c r="BI52" s="81">
        <f t="shared" si="115"/>
        <v>100233</v>
      </c>
      <c r="BJ52" s="47">
        <f t="shared" si="4"/>
        <v>724358.25</v>
      </c>
      <c r="BK52" s="139"/>
      <c r="BL52" s="139"/>
      <c r="BM52" s="139"/>
      <c r="BN52" s="139"/>
      <c r="BO52" s="137"/>
      <c r="BP52" s="137"/>
      <c r="BQ52" s="137"/>
      <c r="BR52" s="137"/>
      <c r="BS52" s="137">
        <f>$D$43*$S$27*$F$27*0.1295</f>
        <v>32634</v>
      </c>
      <c r="BT52" s="137">
        <f>$D$44*$R$27*$F$27*0.1295</f>
        <v>33566.4</v>
      </c>
      <c r="BU52" s="137">
        <f>$D$45*$Q$27*$F$27*0.1295</f>
        <v>34498.8</v>
      </c>
      <c r="BV52" s="137">
        <f>$D$46*$P$27*$F$27*0.1295</f>
        <v>35664.3</v>
      </c>
      <c r="BW52" s="137">
        <f>$D$47*$O$27*$F$27*0.1295</f>
        <v>36596.700000000004</v>
      </c>
      <c r="BX52" s="137">
        <f>$D$48*$N$27*$F$27*0.1295</f>
        <v>37762.200000000004</v>
      </c>
      <c r="BY52" s="137">
        <f>$D$49*$M$27*$F$27*0.1295</f>
        <v>38927.700000000004</v>
      </c>
      <c r="BZ52" s="139">
        <f>$D$50*$L$27*$F$27*0.1295</f>
        <v>40093.200000000004</v>
      </c>
      <c r="CA52" s="138">
        <f t="shared" si="5"/>
        <v>289743.30000000005</v>
      </c>
      <c r="CB52" s="143"/>
      <c r="CC52" s="143"/>
      <c r="CD52" s="143"/>
      <c r="CE52" s="36"/>
      <c r="CF52" s="36"/>
      <c r="CG52" s="36"/>
      <c r="CH52" s="36"/>
      <c r="CI52" s="36"/>
      <c r="CJ52" s="36">
        <f t="shared" si="67"/>
        <v>1125355</v>
      </c>
      <c r="CK52" s="36">
        <f t="shared" si="74"/>
        <v>1184277.5</v>
      </c>
      <c r="CL52" s="36">
        <f t="shared" si="81"/>
        <v>1245790</v>
      </c>
      <c r="CM52" s="36">
        <f t="shared" si="88"/>
        <v>1310540</v>
      </c>
      <c r="CN52" s="36">
        <f t="shared" si="95"/>
        <v>1378527.5</v>
      </c>
      <c r="CO52" s="36">
        <f t="shared" si="102"/>
        <v>1450400</v>
      </c>
      <c r="CP52" s="36">
        <f t="shared" si="109"/>
        <v>1525510</v>
      </c>
      <c r="CQ52" s="81">
        <v>0</v>
      </c>
      <c r="CR52" s="47">
        <f t="shared" si="7"/>
        <v>9220400</v>
      </c>
      <c r="CS52" s="139"/>
      <c r="CT52" s="139"/>
      <c r="CU52" s="139"/>
      <c r="CV52" s="137"/>
      <c r="CW52" s="137"/>
      <c r="CX52" s="137"/>
      <c r="CY52" s="137"/>
      <c r="CZ52" s="137"/>
      <c r="DA52" s="137">
        <f>$E$43*$S$28*$F$28*0.1295</f>
        <v>450142</v>
      </c>
      <c r="DB52" s="137">
        <f>$E$44*$R$28*$F$28*0.1295</f>
        <v>473711</v>
      </c>
      <c r="DC52" s="137">
        <f>$E$45*$Q$28*$F$28*0.1295</f>
        <v>498316</v>
      </c>
      <c r="DD52" s="137">
        <f>$E$46*$P$28*$F$28*0.1295</f>
        <v>524216</v>
      </c>
      <c r="DE52" s="137">
        <f>$E$47*$O$28*$F$28*0.1295</f>
        <v>551411</v>
      </c>
      <c r="DF52" s="137">
        <f>$E$48*$N$28*$F$28*0.1295</f>
        <v>580160</v>
      </c>
      <c r="DG52" s="137">
        <f>$E$49*$M$28*$F$28*0.1295</f>
        <v>610204</v>
      </c>
      <c r="DH52" s="139">
        <v>0</v>
      </c>
      <c r="DI52" s="138">
        <f t="shared" si="8"/>
        <v>3688160</v>
      </c>
      <c r="DJ52" s="143"/>
      <c r="DK52" s="143"/>
      <c r="DL52" s="143"/>
      <c r="DM52" s="143"/>
      <c r="DN52" s="36"/>
      <c r="DO52" s="36"/>
      <c r="DP52" s="36"/>
      <c r="DQ52" s="36"/>
      <c r="DR52" s="36">
        <f t="shared" si="68"/>
        <v>374902.5</v>
      </c>
      <c r="DS52" s="36">
        <f t="shared" si="75"/>
        <v>394975</v>
      </c>
      <c r="DT52" s="36">
        <f t="shared" si="82"/>
        <v>415047.5</v>
      </c>
      <c r="DU52" s="36">
        <f t="shared" si="89"/>
        <v>437062.5</v>
      </c>
      <c r="DV52" s="36">
        <f t="shared" si="96"/>
        <v>459725</v>
      </c>
      <c r="DW52" s="36">
        <f t="shared" si="103"/>
        <v>483682.5</v>
      </c>
      <c r="DX52" s="36">
        <f t="shared" si="110"/>
        <v>508287.5</v>
      </c>
      <c r="DY52" s="81">
        <v>0</v>
      </c>
      <c r="DZ52" s="78">
        <f>SUM(DJ52:DY52)</f>
        <v>3073682.5</v>
      </c>
      <c r="EA52" s="139"/>
      <c r="EB52" s="139"/>
      <c r="EC52" s="139"/>
      <c r="ED52" s="139"/>
      <c r="EE52" s="137"/>
      <c r="EF52" s="137"/>
      <c r="EG52" s="137"/>
      <c r="EH52" s="137"/>
      <c r="EI52" s="137">
        <f>$F$43*$S$28*$F$28*0.1295</f>
        <v>149961</v>
      </c>
      <c r="EJ52" s="137">
        <f>$F$44*$R$28*$F$28*0.1295</f>
        <v>157990</v>
      </c>
      <c r="EK52" s="137">
        <f>$F$45*$Q$28*$F$28*0.1295</f>
        <v>166019.00000000003</v>
      </c>
      <c r="EL52" s="137">
        <f>$F$46*$P$28*$F$28*0.1295</f>
        <v>174825</v>
      </c>
      <c r="EM52" s="137">
        <f>$F$47*O$28*$F$28*0.1295</f>
        <v>183890</v>
      </c>
      <c r="EN52" s="137">
        <f>$F$48*$N$28*$F$28*0.1295</f>
        <v>193473</v>
      </c>
      <c r="EO52" s="137">
        <f>$F$49*$M$28*$F$28*0.1295</f>
        <v>203315</v>
      </c>
      <c r="EP52" s="139">
        <v>0</v>
      </c>
      <c r="EQ52" s="138">
        <f>SUM(EA52:EP52)</f>
        <v>1229473</v>
      </c>
      <c r="ER52" s="143"/>
      <c r="ES52" s="143"/>
      <c r="ET52" s="143"/>
      <c r="EU52" s="36"/>
      <c r="EV52" s="36"/>
      <c r="EW52" s="36"/>
      <c r="EX52" s="36"/>
      <c r="EY52" s="36"/>
      <c r="EZ52" s="36">
        <f t="shared" si="69"/>
        <v>148925</v>
      </c>
      <c r="FA52" s="36">
        <f t="shared" si="76"/>
        <v>164465</v>
      </c>
      <c r="FB52" s="36">
        <f t="shared" si="83"/>
        <v>180652.5</v>
      </c>
      <c r="FC52" s="36">
        <f t="shared" si="90"/>
        <v>199430</v>
      </c>
      <c r="FD52" s="36">
        <f t="shared" si="97"/>
        <v>219502.5</v>
      </c>
      <c r="FE52" s="36">
        <f t="shared" si="104"/>
        <v>242165</v>
      </c>
      <c r="FF52" s="36">
        <f t="shared" si="111"/>
        <v>266770</v>
      </c>
      <c r="FG52" s="81">
        <v>0</v>
      </c>
      <c r="FH52" s="47">
        <f>SUM(ER52:FG52)</f>
        <v>1421910</v>
      </c>
      <c r="FI52" s="139"/>
      <c r="FJ52" s="139"/>
      <c r="FK52" s="139"/>
      <c r="FL52" s="137"/>
      <c r="FM52" s="137"/>
      <c r="FN52" s="137"/>
      <c r="FO52" s="137"/>
      <c r="FP52" s="137"/>
      <c r="FQ52" s="137">
        <f>$G$43*$S$29*$F$29*0.1295</f>
        <v>59570</v>
      </c>
      <c r="FR52" s="137">
        <f>$G$44*$R$29*$F$29*0.1295</f>
        <v>65786.00000000001</v>
      </c>
      <c r="FS52" s="137">
        <f>$G$45*$Q$29*$F$29*0.1295</f>
        <v>72261</v>
      </c>
      <c r="FT52" s="137">
        <f>$G$46*$P$29*$F$29*0.1295</f>
        <v>79772</v>
      </c>
      <c r="FU52" s="137">
        <f>$G$47*$O$29*$F$29*0.1295</f>
        <v>87801</v>
      </c>
      <c r="FV52" s="137">
        <f>$G$48*$N$29*$F$29*0.1295</f>
        <v>96866</v>
      </c>
      <c r="FW52" s="137">
        <f>$G$49*$M$29*$F$29*0.1295</f>
        <v>106708</v>
      </c>
      <c r="FX52" s="139">
        <v>0</v>
      </c>
      <c r="FY52" s="138">
        <f>SUM(FI52:FX52)</f>
        <v>568764</v>
      </c>
      <c r="FZ52" s="143"/>
      <c r="GA52" s="143"/>
      <c r="GB52" s="143"/>
      <c r="GC52" s="36"/>
      <c r="GD52" s="36"/>
      <c r="GE52" s="36"/>
      <c r="GF52" s="36"/>
      <c r="GG52" s="36"/>
      <c r="GH52" s="36">
        <f t="shared" si="70"/>
        <v>49857.5</v>
      </c>
      <c r="GI52" s="36">
        <f t="shared" si="77"/>
        <v>55037.5</v>
      </c>
      <c r="GJ52" s="36">
        <f t="shared" si="84"/>
        <v>60217.5</v>
      </c>
      <c r="GK52" s="36">
        <f t="shared" si="91"/>
        <v>66692.5</v>
      </c>
      <c r="GL52" s="36">
        <f t="shared" si="98"/>
        <v>73167.5</v>
      </c>
      <c r="GM52" s="36">
        <f t="shared" si="105"/>
        <v>80937.5</v>
      </c>
      <c r="GN52" s="36">
        <f t="shared" si="112"/>
        <v>88707.5</v>
      </c>
      <c r="GO52" s="81">
        <v>0</v>
      </c>
      <c r="GP52" s="47">
        <f>SUM(FZ52:GO52)</f>
        <v>474617.5</v>
      </c>
      <c r="GQ52" s="139"/>
      <c r="GR52" s="139"/>
      <c r="GS52" s="139"/>
      <c r="GT52" s="137"/>
      <c r="GU52" s="137"/>
      <c r="GV52" s="137"/>
      <c r="GW52" s="137"/>
      <c r="GX52" s="137"/>
      <c r="GY52" s="137">
        <f>$H$43*$S$29*$F$29*0.1295</f>
        <v>19943</v>
      </c>
      <c r="GZ52" s="137">
        <f>$H$44*$R$29*$F$29*0.1295</f>
        <v>22015</v>
      </c>
      <c r="HA52" s="137">
        <f>$H$45*$Q$29*$F$29*0.1295</f>
        <v>24087</v>
      </c>
      <c r="HB52" s="137">
        <f>$H$46*$P$29*$F$29*0.1295</f>
        <v>26677</v>
      </c>
      <c r="HC52" s="137">
        <f>$H$47*$O$29*$F$29*0.1295</f>
        <v>29267</v>
      </c>
      <c r="HD52" s="137">
        <f>$H$48*$N$29*$F$29*0.1295</f>
        <v>32375</v>
      </c>
      <c r="HE52" s="137">
        <f>$H$49*$M$29*$F$29*0.1295</f>
        <v>35483</v>
      </c>
      <c r="HF52" s="139">
        <v>0</v>
      </c>
      <c r="HG52" s="138">
        <f>SUM(GT52:HF52)</f>
        <v>189847</v>
      </c>
      <c r="HH52" s="143"/>
      <c r="HI52" s="143"/>
      <c r="HJ52" s="143"/>
      <c r="HK52" s="36"/>
      <c r="HL52" s="36"/>
      <c r="HM52" s="36"/>
      <c r="HN52" s="36"/>
      <c r="HO52" s="36"/>
      <c r="HP52" s="36">
        <f t="shared" si="71"/>
        <v>82880</v>
      </c>
      <c r="HQ52" s="36">
        <f t="shared" si="78"/>
        <v>87412.5</v>
      </c>
      <c r="HR52" s="36">
        <f t="shared" si="85"/>
        <v>91945</v>
      </c>
      <c r="HS52" s="36">
        <f t="shared" si="92"/>
        <v>96477.5</v>
      </c>
      <c r="HT52" s="36">
        <f t="shared" si="99"/>
        <v>101657.5</v>
      </c>
      <c r="HU52" s="36">
        <f t="shared" si="106"/>
        <v>106837.5</v>
      </c>
      <c r="HV52" s="36">
        <f t="shared" si="113"/>
        <v>112665</v>
      </c>
      <c r="HW52" s="36">
        <v>0</v>
      </c>
      <c r="HX52" s="47">
        <f>SUM(HH52:HW52)</f>
        <v>679875</v>
      </c>
      <c r="HY52" s="139"/>
      <c r="HZ52" s="139"/>
      <c r="IA52" s="139"/>
      <c r="IB52" s="137"/>
      <c r="IC52" s="137"/>
      <c r="ID52" s="137"/>
      <c r="IE52" s="137"/>
      <c r="IF52" s="137"/>
      <c r="IG52" s="137">
        <f>$I$43*$S$28*$F$28*0.1295</f>
        <v>33152</v>
      </c>
      <c r="IH52" s="137">
        <f>$I$44*$R$28*$F$28*0.1295</f>
        <v>34965</v>
      </c>
      <c r="II52" s="137">
        <f>$I$45*$Q$28*$F$28*0.1295</f>
        <v>36778</v>
      </c>
      <c r="IJ52" s="137">
        <f>$I$46*$P$28*$F$28*0.1295</f>
        <v>38591</v>
      </c>
      <c r="IK52" s="137">
        <f>$I$47*$O$28*$F$28*0.1295</f>
        <v>40663</v>
      </c>
      <c r="IL52" s="137">
        <f>$I$48*$N$28*$F$28*0.1295</f>
        <v>42735</v>
      </c>
      <c r="IM52" s="137">
        <f>$I$49*$M$28*$F$28*0.1295</f>
        <v>45066.00000000001</v>
      </c>
      <c r="IN52" s="137">
        <v>0</v>
      </c>
      <c r="IO52" s="138">
        <f>SUM(HY52:IN52)</f>
        <v>271950</v>
      </c>
      <c r="IP52" s="38"/>
      <c r="IQ52" s="78"/>
      <c r="IR52" s="81"/>
      <c r="IS52" s="81"/>
      <c r="IT52" s="5"/>
    </row>
    <row r="53" spans="1:254" ht="18.75">
      <c r="A53" s="9"/>
      <c r="B53" s="49">
        <v>2023</v>
      </c>
      <c r="C53" s="79" t="s">
        <v>40</v>
      </c>
      <c r="D53" s="79" t="s">
        <v>40</v>
      </c>
      <c r="E53" s="79" t="s">
        <v>40</v>
      </c>
      <c r="F53" s="79" t="s">
        <v>40</v>
      </c>
      <c r="G53" s="79" t="s">
        <v>40</v>
      </c>
      <c r="H53" s="79" t="s">
        <v>40</v>
      </c>
      <c r="I53" s="79" t="s">
        <v>40</v>
      </c>
      <c r="J53" s="79" t="s">
        <v>40</v>
      </c>
      <c r="K53" s="80" t="s">
        <v>40</v>
      </c>
      <c r="L53" s="79"/>
      <c r="M53" s="79"/>
      <c r="N53" s="79"/>
      <c r="O53" s="36"/>
      <c r="P53" s="36"/>
      <c r="Q53" s="36"/>
      <c r="R53" s="36"/>
      <c r="S53" s="36"/>
      <c r="T53" s="36"/>
      <c r="U53" s="36">
        <f t="shared" si="72"/>
        <v>201502</v>
      </c>
      <c r="V53" s="36">
        <f t="shared" si="79"/>
        <v>210826</v>
      </c>
      <c r="W53" s="36">
        <f t="shared" si="86"/>
        <v>220668</v>
      </c>
      <c r="X53" s="36">
        <f t="shared" si="93"/>
        <v>230510</v>
      </c>
      <c r="Y53" s="36">
        <f t="shared" si="100"/>
        <v>240870</v>
      </c>
      <c r="Z53" s="36">
        <f t="shared" si="107"/>
        <v>251748</v>
      </c>
      <c r="AA53" s="36">
        <f t="shared" si="114"/>
        <v>263662</v>
      </c>
      <c r="AB53" s="78">
        <f t="shared" si="1"/>
        <v>1619786</v>
      </c>
      <c r="AC53" s="139"/>
      <c r="AD53" s="139"/>
      <c r="AE53" s="139"/>
      <c r="AF53" s="137"/>
      <c r="AG53" s="137"/>
      <c r="AH53" s="137"/>
      <c r="AI53" s="137"/>
      <c r="AJ53" s="137"/>
      <c r="AK53" s="137"/>
      <c r="AL53" s="137">
        <f>$C$44*$S$26*$F$26*0.1295</f>
        <v>80600.80000000002</v>
      </c>
      <c r="AM53" s="137">
        <f>$C$45*$R$26*$F$26*0.1295</f>
        <v>84330.40000000001</v>
      </c>
      <c r="AN53" s="137">
        <f>$C$46*$Q$26*$F$26*0.1295</f>
        <v>88267.2</v>
      </c>
      <c r="AO53" s="137">
        <f>$C$47*$P$26*$F$26*0.1295</f>
        <v>92204</v>
      </c>
      <c r="AP53" s="137">
        <f>$C$48*$O$26*$F$26*0.1295</f>
        <v>96348</v>
      </c>
      <c r="AQ53" s="137">
        <f>$C$49*$N$26*$F$26*0.1295</f>
        <v>100699.2</v>
      </c>
      <c r="AR53" s="139">
        <f>$C$50*$M$26*$F$26*0.1295</f>
        <v>105464.80000000002</v>
      </c>
      <c r="AS53" s="142">
        <f t="shared" si="2"/>
        <v>647914.4</v>
      </c>
      <c r="AT53" s="143"/>
      <c r="AU53" s="143"/>
      <c r="AV53" s="143"/>
      <c r="AW53" s="81"/>
      <c r="AX53" s="36"/>
      <c r="AY53" s="36"/>
      <c r="AZ53" s="36"/>
      <c r="BA53" s="36"/>
      <c r="BB53" s="36"/>
      <c r="BC53" s="36">
        <f t="shared" si="73"/>
        <v>83916</v>
      </c>
      <c r="BD53" s="36">
        <f t="shared" si="80"/>
        <v>86247</v>
      </c>
      <c r="BE53" s="36">
        <f t="shared" si="87"/>
        <v>89160.75</v>
      </c>
      <c r="BF53" s="36">
        <f t="shared" si="94"/>
        <v>91491.75</v>
      </c>
      <c r="BG53" s="36">
        <f t="shared" si="101"/>
        <v>94405.5</v>
      </c>
      <c r="BH53" s="36">
        <f t="shared" si="108"/>
        <v>97319.25</v>
      </c>
      <c r="BI53" s="81">
        <f t="shared" si="115"/>
        <v>100233</v>
      </c>
      <c r="BJ53" s="47">
        <f t="shared" si="4"/>
        <v>642773.25</v>
      </c>
      <c r="BK53" s="139"/>
      <c r="BL53" s="139"/>
      <c r="BM53" s="139"/>
      <c r="BN53" s="139"/>
      <c r="BO53" s="137"/>
      <c r="BP53" s="137"/>
      <c r="BQ53" s="137"/>
      <c r="BR53" s="137"/>
      <c r="BS53" s="137"/>
      <c r="BT53" s="137">
        <f>$D$44*$S$27*$F$27*0.1295</f>
        <v>33566.4</v>
      </c>
      <c r="BU53" s="137">
        <f>$D$45*$R$27*$F$27*0.1295</f>
        <v>34498.8</v>
      </c>
      <c r="BV53" s="137">
        <f>$D$46*$Q$27*$F$27*0.1295</f>
        <v>35664.3</v>
      </c>
      <c r="BW53" s="137">
        <f>$D$47*$P$27*$F$27*0.1295</f>
        <v>36596.700000000004</v>
      </c>
      <c r="BX53" s="137">
        <f>$D$48*$O$27*$F$27*0.1295</f>
        <v>37762.200000000004</v>
      </c>
      <c r="BY53" s="137">
        <f>$D$49*$N$27*$F$27*0.1295</f>
        <v>38927.700000000004</v>
      </c>
      <c r="BZ53" s="139">
        <f>$D$50*$M$27*$F$27*0.1295</f>
        <v>40093.200000000004</v>
      </c>
      <c r="CA53" s="138">
        <f t="shared" si="5"/>
        <v>257109.30000000005</v>
      </c>
      <c r="CB53" s="143"/>
      <c r="CC53" s="143"/>
      <c r="CD53" s="143"/>
      <c r="CE53" s="36"/>
      <c r="CF53" s="36"/>
      <c r="CG53" s="36"/>
      <c r="CH53" s="36"/>
      <c r="CI53" s="36"/>
      <c r="CJ53" s="36"/>
      <c r="CK53" s="36">
        <f t="shared" si="74"/>
        <v>1184277.5</v>
      </c>
      <c r="CL53" s="36">
        <f t="shared" si="81"/>
        <v>1245790</v>
      </c>
      <c r="CM53" s="36">
        <f t="shared" si="88"/>
        <v>1310540</v>
      </c>
      <c r="CN53" s="36">
        <f t="shared" si="95"/>
        <v>1378527.5</v>
      </c>
      <c r="CO53" s="36">
        <f t="shared" si="102"/>
        <v>1450400</v>
      </c>
      <c r="CP53" s="36">
        <f t="shared" si="109"/>
        <v>1525510</v>
      </c>
      <c r="CQ53" s="81">
        <v>0</v>
      </c>
      <c r="CR53" s="47">
        <f t="shared" si="7"/>
        <v>8095045</v>
      </c>
      <c r="CS53" s="139"/>
      <c r="CT53" s="139"/>
      <c r="CU53" s="139"/>
      <c r="CV53" s="137"/>
      <c r="CW53" s="137"/>
      <c r="CX53" s="137"/>
      <c r="CY53" s="137"/>
      <c r="CZ53" s="137"/>
      <c r="DA53" s="137"/>
      <c r="DB53" s="137">
        <f>$E$44*$S$28*$F$28*0.1295</f>
        <v>473711</v>
      </c>
      <c r="DC53" s="137">
        <f>$E$45*$R$28*$F$28*0.1295</f>
        <v>498316</v>
      </c>
      <c r="DD53" s="137">
        <f>$E$46*$Q$28*$F$28*0.1295</f>
        <v>524216</v>
      </c>
      <c r="DE53" s="137">
        <f>$E$47*$P$28*$F$28*0.1295</f>
        <v>551411</v>
      </c>
      <c r="DF53" s="137">
        <f>$E$48*$O$28*$F$28*0.1295</f>
        <v>580160</v>
      </c>
      <c r="DG53" s="137">
        <f>$E$49*$N$28*$F$28*0.1295</f>
        <v>610204</v>
      </c>
      <c r="DH53" s="139">
        <v>0</v>
      </c>
      <c r="DI53" s="138">
        <f t="shared" si="8"/>
        <v>3238018</v>
      </c>
      <c r="DJ53" s="143"/>
      <c r="DK53" s="143"/>
      <c r="DL53" s="143"/>
      <c r="DM53" s="143"/>
      <c r="DN53" s="36"/>
      <c r="DO53" s="36"/>
      <c r="DP53" s="36"/>
      <c r="DQ53" s="36"/>
      <c r="DR53" s="36"/>
      <c r="DS53" s="36">
        <f t="shared" si="75"/>
        <v>394975</v>
      </c>
      <c r="DT53" s="36">
        <f t="shared" si="82"/>
        <v>415047.5</v>
      </c>
      <c r="DU53" s="36">
        <f t="shared" si="89"/>
        <v>437062.5</v>
      </c>
      <c r="DV53" s="36">
        <f t="shared" si="96"/>
        <v>459725</v>
      </c>
      <c r="DW53" s="36">
        <f t="shared" si="103"/>
        <v>483682.5</v>
      </c>
      <c r="DX53" s="36">
        <f t="shared" si="110"/>
        <v>508287.5</v>
      </c>
      <c r="DY53" s="81">
        <v>0</v>
      </c>
      <c r="DZ53" s="78">
        <f>SUM(DJ53:DY53)</f>
        <v>2698780</v>
      </c>
      <c r="EA53" s="139"/>
      <c r="EB53" s="139"/>
      <c r="EC53" s="139"/>
      <c r="ED53" s="139"/>
      <c r="EE53" s="137"/>
      <c r="EF53" s="137"/>
      <c r="EG53" s="137"/>
      <c r="EH53" s="137"/>
      <c r="EI53" s="137"/>
      <c r="EJ53" s="137">
        <f>$F$44*$S$28*$F$28*0.1295</f>
        <v>157990</v>
      </c>
      <c r="EK53" s="137">
        <f>$F$45*$R$28*$F$28*0.1295</f>
        <v>166019.00000000003</v>
      </c>
      <c r="EL53" s="137">
        <f>$F$46*$Q$28*$F$28*0.1295</f>
        <v>174825</v>
      </c>
      <c r="EM53" s="137">
        <f>$F$47*P$28*$F$28*0.1295</f>
        <v>183890</v>
      </c>
      <c r="EN53" s="137">
        <f>$F$48*$O$28*$F$28*0.1295</f>
        <v>193473</v>
      </c>
      <c r="EO53" s="137">
        <f>$F$49*$N$28*$F$28*0.1295</f>
        <v>203315</v>
      </c>
      <c r="EP53" s="139">
        <v>0</v>
      </c>
      <c r="EQ53" s="138">
        <f>SUM(EA53:EP53)</f>
        <v>1079512</v>
      </c>
      <c r="ER53" s="143"/>
      <c r="ES53" s="143"/>
      <c r="ET53" s="143"/>
      <c r="EU53" s="36"/>
      <c r="EV53" s="36"/>
      <c r="EW53" s="36"/>
      <c r="EX53" s="36"/>
      <c r="EY53" s="36"/>
      <c r="EZ53" s="36"/>
      <c r="FA53" s="36">
        <f t="shared" si="76"/>
        <v>164465</v>
      </c>
      <c r="FB53" s="36">
        <f t="shared" si="83"/>
        <v>180652.5</v>
      </c>
      <c r="FC53" s="36">
        <f t="shared" si="90"/>
        <v>199430</v>
      </c>
      <c r="FD53" s="36">
        <f t="shared" si="97"/>
        <v>219502.5</v>
      </c>
      <c r="FE53" s="36">
        <f t="shared" si="104"/>
        <v>242165</v>
      </c>
      <c r="FF53" s="36">
        <f t="shared" si="111"/>
        <v>266770</v>
      </c>
      <c r="FG53" s="81">
        <v>0</v>
      </c>
      <c r="FH53" s="47">
        <f>SUM(ER53:FG53)</f>
        <v>1272985</v>
      </c>
      <c r="FI53" s="139"/>
      <c r="FJ53" s="139"/>
      <c r="FK53" s="139"/>
      <c r="FL53" s="137"/>
      <c r="FM53" s="137"/>
      <c r="FN53" s="137"/>
      <c r="FO53" s="137"/>
      <c r="FP53" s="137"/>
      <c r="FQ53" s="137"/>
      <c r="FR53" s="137">
        <f>$G$44*$S$29*$F$29*0.1295</f>
        <v>65786.00000000001</v>
      </c>
      <c r="FS53" s="137">
        <f>$G$45*$R$29*$F$29*0.1295</f>
        <v>72261</v>
      </c>
      <c r="FT53" s="137">
        <f>$G$46*$Q$29*$F$29*0.1295</f>
        <v>79772</v>
      </c>
      <c r="FU53" s="137">
        <f>$G$47*$P$29*$F$29*0.1295</f>
        <v>87801</v>
      </c>
      <c r="FV53" s="137">
        <f>$G$48*$O$29*$F$29*0.1295</f>
        <v>96866</v>
      </c>
      <c r="FW53" s="137">
        <f>$G$49*$N$29*$F$29*0.1295</f>
        <v>106708</v>
      </c>
      <c r="FX53" s="139">
        <v>0</v>
      </c>
      <c r="FY53" s="138">
        <f>SUM(FI53:FX53)</f>
        <v>509194</v>
      </c>
      <c r="FZ53" s="143"/>
      <c r="GA53" s="143"/>
      <c r="GB53" s="143"/>
      <c r="GC53" s="36"/>
      <c r="GD53" s="36"/>
      <c r="GE53" s="36"/>
      <c r="GF53" s="36"/>
      <c r="GG53" s="36"/>
      <c r="GH53" s="36"/>
      <c r="GI53" s="36">
        <f t="shared" si="77"/>
        <v>55037.5</v>
      </c>
      <c r="GJ53" s="36">
        <f t="shared" si="84"/>
        <v>60217.5</v>
      </c>
      <c r="GK53" s="36">
        <f t="shared" si="91"/>
        <v>66692.5</v>
      </c>
      <c r="GL53" s="36">
        <f t="shared" si="98"/>
        <v>73167.5</v>
      </c>
      <c r="GM53" s="36">
        <f t="shared" si="105"/>
        <v>80937.5</v>
      </c>
      <c r="GN53" s="36">
        <f t="shared" si="112"/>
        <v>88707.5</v>
      </c>
      <c r="GO53" s="81">
        <v>0</v>
      </c>
      <c r="GP53" s="47">
        <f>SUM(FZ53:GO53)</f>
        <v>424760</v>
      </c>
      <c r="GQ53" s="139"/>
      <c r="GR53" s="139"/>
      <c r="GS53" s="139"/>
      <c r="GT53" s="137"/>
      <c r="GU53" s="137"/>
      <c r="GV53" s="137"/>
      <c r="GW53" s="137"/>
      <c r="GX53" s="137"/>
      <c r="GY53" s="137"/>
      <c r="GZ53" s="137">
        <f>$H$44*$S$29*$F$29*0.1295</f>
        <v>22015</v>
      </c>
      <c r="HA53" s="137">
        <f>$H$45*$R$29*$F$29*0.1295</f>
        <v>24087</v>
      </c>
      <c r="HB53" s="137">
        <f>$H$46*$Q$29*$F$29*0.1295</f>
        <v>26677</v>
      </c>
      <c r="HC53" s="137">
        <f>$H$47*$P$29*$F$29*0.1295</f>
        <v>29267</v>
      </c>
      <c r="HD53" s="137">
        <f>$H$48*$O$29*$F$29*0.1295</f>
        <v>32375</v>
      </c>
      <c r="HE53" s="137">
        <f>$H$49*$N$29*$F$29*0.1295</f>
        <v>35483</v>
      </c>
      <c r="HF53" s="139">
        <v>0</v>
      </c>
      <c r="HG53" s="138">
        <f>SUM(GT53:HF53)</f>
        <v>169904</v>
      </c>
      <c r="HH53" s="143"/>
      <c r="HI53" s="143"/>
      <c r="HJ53" s="143"/>
      <c r="HK53" s="36"/>
      <c r="HL53" s="36"/>
      <c r="HM53" s="36"/>
      <c r="HN53" s="36"/>
      <c r="HO53" s="36"/>
      <c r="HP53" s="36"/>
      <c r="HQ53" s="36">
        <f t="shared" si="78"/>
        <v>87412.5</v>
      </c>
      <c r="HR53" s="36">
        <f t="shared" si="85"/>
        <v>91945</v>
      </c>
      <c r="HS53" s="36">
        <f t="shared" si="92"/>
        <v>96477.5</v>
      </c>
      <c r="HT53" s="36">
        <f t="shared" si="99"/>
        <v>101657.5</v>
      </c>
      <c r="HU53" s="36">
        <f t="shared" si="106"/>
        <v>106837.5</v>
      </c>
      <c r="HV53" s="36">
        <f t="shared" si="113"/>
        <v>112665</v>
      </c>
      <c r="HW53" s="36">
        <v>0</v>
      </c>
      <c r="HX53" s="47">
        <f>SUM(HH53:HW53)</f>
        <v>596995</v>
      </c>
      <c r="HY53" s="139"/>
      <c r="HZ53" s="139"/>
      <c r="IA53" s="139"/>
      <c r="IB53" s="137"/>
      <c r="IC53" s="137"/>
      <c r="ID53" s="137"/>
      <c r="IE53" s="137"/>
      <c r="IF53" s="137"/>
      <c r="IG53" s="137"/>
      <c r="IH53" s="137">
        <f>$I$44*$S$28*$F$28*0.1295</f>
        <v>34965</v>
      </c>
      <c r="II53" s="137">
        <f>$I$45*$R$28*$F$28*0.1295</f>
        <v>36778</v>
      </c>
      <c r="IJ53" s="137">
        <f>$I$46*$Q$28*$F$28*0.1295</f>
        <v>38591</v>
      </c>
      <c r="IK53" s="137">
        <f>$I$47*$P$28*$F$28*0.1295</f>
        <v>40663</v>
      </c>
      <c r="IL53" s="137">
        <f>$I$48*$O$28*$F$28*0.1295</f>
        <v>42735</v>
      </c>
      <c r="IM53" s="137">
        <f>$I$49*$N$28*$F$28*0.1295</f>
        <v>45066.00000000001</v>
      </c>
      <c r="IN53" s="137">
        <v>0</v>
      </c>
      <c r="IO53" s="138">
        <f>SUM(HY53:IN53)</f>
        <v>238798</v>
      </c>
      <c r="IP53" s="38"/>
      <c r="IQ53" s="78"/>
      <c r="IR53" s="81"/>
      <c r="IS53" s="81"/>
      <c r="IT53" s="5"/>
    </row>
    <row r="54" spans="1:254" ht="18.75">
      <c r="A54" s="9"/>
      <c r="B54" s="49">
        <v>2024</v>
      </c>
      <c r="C54" s="79" t="s">
        <v>40</v>
      </c>
      <c r="D54" s="79" t="s">
        <v>40</v>
      </c>
      <c r="E54" s="79" t="s">
        <v>40</v>
      </c>
      <c r="F54" s="79" t="s">
        <v>40</v>
      </c>
      <c r="G54" s="79" t="s">
        <v>40</v>
      </c>
      <c r="H54" s="79" t="s">
        <v>40</v>
      </c>
      <c r="I54" s="79" t="s">
        <v>40</v>
      </c>
      <c r="J54" s="79" t="s">
        <v>40</v>
      </c>
      <c r="K54" s="80" t="s">
        <v>40</v>
      </c>
      <c r="L54" s="79"/>
      <c r="M54" s="79"/>
      <c r="N54" s="79"/>
      <c r="O54" s="36"/>
      <c r="P54" s="36"/>
      <c r="Q54" s="36"/>
      <c r="R54" s="36"/>
      <c r="S54" s="36"/>
      <c r="T54" s="36"/>
      <c r="U54" s="36"/>
      <c r="V54" s="36">
        <f t="shared" si="79"/>
        <v>210826</v>
      </c>
      <c r="W54" s="36">
        <f t="shared" si="86"/>
        <v>220668</v>
      </c>
      <c r="X54" s="36">
        <f t="shared" si="93"/>
        <v>230510</v>
      </c>
      <c r="Y54" s="36">
        <f t="shared" si="100"/>
        <v>240870</v>
      </c>
      <c r="Z54" s="36">
        <f t="shared" si="107"/>
        <v>251748</v>
      </c>
      <c r="AA54" s="36">
        <f t="shared" si="114"/>
        <v>263662</v>
      </c>
      <c r="AB54" s="78">
        <f t="shared" si="1"/>
        <v>1418284</v>
      </c>
      <c r="AC54" s="139"/>
      <c r="AD54" s="139"/>
      <c r="AE54" s="139"/>
      <c r="AF54" s="137"/>
      <c r="AG54" s="137"/>
      <c r="AH54" s="137"/>
      <c r="AI54" s="137"/>
      <c r="AJ54" s="137"/>
      <c r="AK54" s="137"/>
      <c r="AL54" s="137"/>
      <c r="AM54" s="137">
        <f>$C$45*$S$26*$F$26*0.1295</f>
        <v>84330.40000000001</v>
      </c>
      <c r="AN54" s="137">
        <f>$C$46*$R$26*$F$26*0.1295</f>
        <v>88267.2</v>
      </c>
      <c r="AO54" s="137">
        <f>$C$47*$Q$26*$F$26*0.1295</f>
        <v>92204</v>
      </c>
      <c r="AP54" s="137">
        <f>$C$48*$P$26*$F$26*0.1295</f>
        <v>96348</v>
      </c>
      <c r="AQ54" s="137">
        <f>$C$49*$O$26*$F$26*0.1295</f>
        <v>100699.2</v>
      </c>
      <c r="AR54" s="139">
        <f>$C$50*$N$26*$F$26*0.1295</f>
        <v>105464.80000000002</v>
      </c>
      <c r="AS54" s="142">
        <f t="shared" si="2"/>
        <v>567313.6</v>
      </c>
      <c r="AT54" s="143"/>
      <c r="AU54" s="143"/>
      <c r="AV54" s="143"/>
      <c r="AW54" s="81"/>
      <c r="AX54" s="36"/>
      <c r="AY54" s="36"/>
      <c r="AZ54" s="36"/>
      <c r="BA54" s="36"/>
      <c r="BB54" s="36"/>
      <c r="BC54" s="36"/>
      <c r="BD54" s="36">
        <f t="shared" si="80"/>
        <v>86247</v>
      </c>
      <c r="BE54" s="36">
        <f t="shared" si="87"/>
        <v>89160.75</v>
      </c>
      <c r="BF54" s="36">
        <f t="shared" si="94"/>
        <v>91491.75</v>
      </c>
      <c r="BG54" s="36">
        <f t="shared" si="101"/>
        <v>94405.5</v>
      </c>
      <c r="BH54" s="36">
        <f t="shared" si="108"/>
        <v>97319.25</v>
      </c>
      <c r="BI54" s="81">
        <f t="shared" si="115"/>
        <v>100233</v>
      </c>
      <c r="BJ54" s="47">
        <f t="shared" si="4"/>
        <v>558857.25</v>
      </c>
      <c r="BK54" s="139"/>
      <c r="BL54" s="139"/>
      <c r="BM54" s="139"/>
      <c r="BN54" s="139"/>
      <c r="BO54" s="137"/>
      <c r="BP54" s="137"/>
      <c r="BQ54" s="137"/>
      <c r="BR54" s="137"/>
      <c r="BS54" s="137"/>
      <c r="BT54" s="137"/>
      <c r="BU54" s="137">
        <f>$D$45*$S$27*$F$27*0.1295</f>
        <v>34498.8</v>
      </c>
      <c r="BV54" s="137">
        <f>$D$46*$R$27*$F$27*0.1295</f>
        <v>35664.3</v>
      </c>
      <c r="BW54" s="137">
        <f>$D$47*$Q$27*$F$27*0.1295</f>
        <v>36596.700000000004</v>
      </c>
      <c r="BX54" s="137">
        <f>$D$48*$P$27*$F$27*0.1295</f>
        <v>37762.200000000004</v>
      </c>
      <c r="BY54" s="137">
        <f>$D$49*$O$27*$F$27*0.1295</f>
        <v>38927.700000000004</v>
      </c>
      <c r="BZ54" s="139">
        <f>$D$50*$N$27*$F$27*0.1295</f>
        <v>40093.200000000004</v>
      </c>
      <c r="CA54" s="138">
        <f t="shared" si="5"/>
        <v>223542.90000000005</v>
      </c>
      <c r="CB54" s="143"/>
      <c r="CC54" s="143"/>
      <c r="CD54" s="143"/>
      <c r="CE54" s="36"/>
      <c r="CF54" s="36"/>
      <c r="CG54" s="36"/>
      <c r="CH54" s="36"/>
      <c r="CI54" s="36"/>
      <c r="CJ54" s="36"/>
      <c r="CK54" s="36"/>
      <c r="CL54" s="36">
        <f t="shared" si="81"/>
        <v>1245790</v>
      </c>
      <c r="CM54" s="36">
        <f t="shared" si="88"/>
        <v>1310540</v>
      </c>
      <c r="CN54" s="36">
        <f t="shared" si="95"/>
        <v>1378527.5</v>
      </c>
      <c r="CO54" s="36">
        <f t="shared" si="102"/>
        <v>1450400</v>
      </c>
      <c r="CP54" s="36">
        <f t="shared" si="109"/>
        <v>1525510</v>
      </c>
      <c r="CQ54" s="81">
        <v>0</v>
      </c>
      <c r="CR54" s="47">
        <f t="shared" si="7"/>
        <v>6910767.5</v>
      </c>
      <c r="CS54" s="139"/>
      <c r="CT54" s="139"/>
      <c r="CU54" s="139"/>
      <c r="CV54" s="137"/>
      <c r="CW54" s="137"/>
      <c r="CX54" s="137"/>
      <c r="CY54" s="137"/>
      <c r="CZ54" s="137"/>
      <c r="DA54" s="137"/>
      <c r="DB54" s="137"/>
      <c r="DC54" s="137">
        <f>$E$45*$S$28*$F$28*0.1295</f>
        <v>498316</v>
      </c>
      <c r="DD54" s="137">
        <f>$E$46*$R$28*$F$28*0.1295</f>
        <v>524216</v>
      </c>
      <c r="DE54" s="137">
        <f>$E$47*$Q$28*$F$28*0.1295</f>
        <v>551411</v>
      </c>
      <c r="DF54" s="137">
        <f>$E$48*$P$28*$F$28*0.1295</f>
        <v>580160</v>
      </c>
      <c r="DG54" s="137">
        <f>$E$49*$O$28*$F$28*0.1295</f>
        <v>610204</v>
      </c>
      <c r="DH54" s="139">
        <v>0</v>
      </c>
      <c r="DI54" s="138">
        <f t="shared" si="8"/>
        <v>2764307</v>
      </c>
      <c r="DJ54" s="143"/>
      <c r="DK54" s="143"/>
      <c r="DL54" s="143"/>
      <c r="DM54" s="143"/>
      <c r="DN54" s="36"/>
      <c r="DO54" s="36"/>
      <c r="DP54" s="36"/>
      <c r="DQ54" s="36"/>
      <c r="DR54" s="36"/>
      <c r="DS54" s="36"/>
      <c r="DT54" s="36">
        <f t="shared" si="82"/>
        <v>415047.5</v>
      </c>
      <c r="DU54" s="36">
        <f t="shared" si="89"/>
        <v>437062.5</v>
      </c>
      <c r="DV54" s="36">
        <f t="shared" si="96"/>
        <v>459725</v>
      </c>
      <c r="DW54" s="36">
        <f t="shared" si="103"/>
        <v>483682.5</v>
      </c>
      <c r="DX54" s="36">
        <f t="shared" si="110"/>
        <v>508287.5</v>
      </c>
      <c r="DY54" s="81">
        <v>0</v>
      </c>
      <c r="DZ54" s="78">
        <f>SUM(DJ54:DY54)</f>
        <v>2303805</v>
      </c>
      <c r="EA54" s="139"/>
      <c r="EB54" s="139"/>
      <c r="EC54" s="139"/>
      <c r="ED54" s="139"/>
      <c r="EE54" s="137"/>
      <c r="EF54" s="137"/>
      <c r="EG54" s="137"/>
      <c r="EH54" s="137"/>
      <c r="EI54" s="137"/>
      <c r="EJ54" s="137"/>
      <c r="EK54" s="137">
        <f>$F$45*$S$28*$F$28*0.1295</f>
        <v>166019.00000000003</v>
      </c>
      <c r="EL54" s="137">
        <f>$F$46*$R$28*$F$28*0.1295</f>
        <v>174825</v>
      </c>
      <c r="EM54" s="137">
        <f>$F$47*Q$28*$F$28*0.1295</f>
        <v>183890</v>
      </c>
      <c r="EN54" s="137">
        <f>$F$48*$P$28*$F$28*0.1295</f>
        <v>193473</v>
      </c>
      <c r="EO54" s="137">
        <f>$F$49*$O$28*$F$28*0.1295</f>
        <v>203315</v>
      </c>
      <c r="EP54" s="139">
        <v>0</v>
      </c>
      <c r="EQ54" s="138">
        <f>SUM(EA54:EP54)</f>
        <v>921522</v>
      </c>
      <c r="ER54" s="143"/>
      <c r="ES54" s="143"/>
      <c r="ET54" s="143"/>
      <c r="EU54" s="36"/>
      <c r="EV54" s="36"/>
      <c r="EW54" s="36"/>
      <c r="EX54" s="36"/>
      <c r="EY54" s="36"/>
      <c r="EZ54" s="36"/>
      <c r="FA54" s="36"/>
      <c r="FB54" s="36">
        <f t="shared" si="83"/>
        <v>180652.5</v>
      </c>
      <c r="FC54" s="36">
        <f t="shared" si="90"/>
        <v>199430</v>
      </c>
      <c r="FD54" s="36">
        <f t="shared" si="97"/>
        <v>219502.5</v>
      </c>
      <c r="FE54" s="36">
        <f t="shared" si="104"/>
        <v>242165</v>
      </c>
      <c r="FF54" s="36">
        <f t="shared" si="111"/>
        <v>266770</v>
      </c>
      <c r="FG54" s="81">
        <v>0</v>
      </c>
      <c r="FH54" s="47">
        <f>SUM(ER54:FG54)</f>
        <v>1108520</v>
      </c>
      <c r="FI54" s="139"/>
      <c r="FJ54" s="139"/>
      <c r="FK54" s="139"/>
      <c r="FL54" s="137"/>
      <c r="FM54" s="137"/>
      <c r="FN54" s="137"/>
      <c r="FO54" s="137"/>
      <c r="FP54" s="137"/>
      <c r="FQ54" s="137"/>
      <c r="FR54" s="137"/>
      <c r="FS54" s="137">
        <f>$G$45*$S$29*$F$29*0.1295</f>
        <v>72261</v>
      </c>
      <c r="FT54" s="137">
        <f>$G$46*$R$29*$F$29*0.1295</f>
        <v>79772</v>
      </c>
      <c r="FU54" s="137">
        <f>$G$47*$Q$29*$F$29*0.1295</f>
        <v>87801</v>
      </c>
      <c r="FV54" s="137">
        <f>$G$48*$P$29*$F$29*0.1295</f>
        <v>96866</v>
      </c>
      <c r="FW54" s="137">
        <f>$G$49*$O$29*$F$29*0.1295</f>
        <v>106708</v>
      </c>
      <c r="FX54" s="139">
        <v>0</v>
      </c>
      <c r="FY54" s="138">
        <f>SUM(FI54:FX54)</f>
        <v>443408</v>
      </c>
      <c r="FZ54" s="143"/>
      <c r="GA54" s="143"/>
      <c r="GB54" s="143"/>
      <c r="GC54" s="36"/>
      <c r="GD54" s="36"/>
      <c r="GE54" s="36"/>
      <c r="GF54" s="36"/>
      <c r="GG54" s="36"/>
      <c r="GH54" s="36"/>
      <c r="GI54" s="36"/>
      <c r="GJ54" s="36">
        <f t="shared" si="84"/>
        <v>60217.5</v>
      </c>
      <c r="GK54" s="36">
        <f t="shared" si="91"/>
        <v>66692.5</v>
      </c>
      <c r="GL54" s="36">
        <f t="shared" si="98"/>
        <v>73167.5</v>
      </c>
      <c r="GM54" s="36">
        <f t="shared" si="105"/>
        <v>80937.5</v>
      </c>
      <c r="GN54" s="36">
        <f t="shared" si="112"/>
        <v>88707.5</v>
      </c>
      <c r="GO54" s="81">
        <v>0</v>
      </c>
      <c r="GP54" s="47">
        <f>SUM(FZ54:GO54)</f>
        <v>369722.5</v>
      </c>
      <c r="GQ54" s="139"/>
      <c r="GR54" s="139"/>
      <c r="GS54" s="139"/>
      <c r="GT54" s="137"/>
      <c r="GU54" s="137"/>
      <c r="GV54" s="137"/>
      <c r="GW54" s="137"/>
      <c r="GX54" s="137"/>
      <c r="GY54" s="137"/>
      <c r="GZ54" s="137"/>
      <c r="HA54" s="137">
        <f>$H$45*$S$29*$F$29*0.1295</f>
        <v>24087</v>
      </c>
      <c r="HB54" s="137">
        <f>$H$46*$R$29*$F$29*0.1295</f>
        <v>26677</v>
      </c>
      <c r="HC54" s="137">
        <f>$H$47*$Q$29*$F$29*0.1295</f>
        <v>29267</v>
      </c>
      <c r="HD54" s="137">
        <f>$H$48*$P$29*$F$29*0.1295</f>
        <v>32375</v>
      </c>
      <c r="HE54" s="137">
        <f>$H$49*$O$29*$F$29*0.1295</f>
        <v>35483</v>
      </c>
      <c r="HF54" s="139">
        <v>0</v>
      </c>
      <c r="HG54" s="138">
        <f>SUM(GT54:HF54)</f>
        <v>147889</v>
      </c>
      <c r="HH54" s="143"/>
      <c r="HI54" s="143"/>
      <c r="HJ54" s="143"/>
      <c r="HK54" s="36"/>
      <c r="HL54" s="36"/>
      <c r="HM54" s="36"/>
      <c r="HN54" s="36"/>
      <c r="HO54" s="36"/>
      <c r="HP54" s="36"/>
      <c r="HQ54" s="36"/>
      <c r="HR54" s="36">
        <f t="shared" si="85"/>
        <v>91945</v>
      </c>
      <c r="HS54" s="36">
        <f t="shared" si="92"/>
        <v>96477.5</v>
      </c>
      <c r="HT54" s="36">
        <f t="shared" si="99"/>
        <v>101657.5</v>
      </c>
      <c r="HU54" s="36">
        <f t="shared" si="106"/>
        <v>106837.5</v>
      </c>
      <c r="HV54" s="36">
        <f t="shared" si="113"/>
        <v>112665</v>
      </c>
      <c r="HW54" s="36">
        <v>0</v>
      </c>
      <c r="HX54" s="47">
        <f>SUM(HH54:HW54)</f>
        <v>509582.5</v>
      </c>
      <c r="HY54" s="139"/>
      <c r="HZ54" s="139"/>
      <c r="IA54" s="139"/>
      <c r="IB54" s="137"/>
      <c r="IC54" s="137"/>
      <c r="ID54" s="137"/>
      <c r="IE54" s="137"/>
      <c r="IF54" s="137"/>
      <c r="IG54" s="137"/>
      <c r="IH54" s="137"/>
      <c r="II54" s="137">
        <f>$I$45*$S$28*$F$28*0.1295</f>
        <v>36778</v>
      </c>
      <c r="IJ54" s="137">
        <f>$I$46*$R$28*$F$28*0.1295</f>
        <v>38591</v>
      </c>
      <c r="IK54" s="137">
        <f>$I$47*$Q$28*$F$28*0.1295</f>
        <v>40663</v>
      </c>
      <c r="IL54" s="137">
        <f>$I$48*$P$28*$F$28*0.1295</f>
        <v>42735</v>
      </c>
      <c r="IM54" s="137">
        <f>$I$49*$O$28*$F$28*0.1295</f>
        <v>45066.00000000001</v>
      </c>
      <c r="IN54" s="137">
        <v>0</v>
      </c>
      <c r="IO54" s="138">
        <f>SUM(HY54:IN54)</f>
        <v>203833</v>
      </c>
      <c r="IP54" s="38"/>
      <c r="IQ54" s="78"/>
      <c r="IR54" s="81"/>
      <c r="IS54" s="81"/>
      <c r="IT54" s="5"/>
    </row>
    <row r="55" spans="1:254" ht="18.75">
      <c r="A55" s="9"/>
      <c r="B55" s="49">
        <v>2025</v>
      </c>
      <c r="C55" s="79" t="s">
        <v>40</v>
      </c>
      <c r="D55" s="79" t="s">
        <v>40</v>
      </c>
      <c r="E55" s="79" t="s">
        <v>40</v>
      </c>
      <c r="F55" s="79" t="s">
        <v>40</v>
      </c>
      <c r="G55" s="79" t="s">
        <v>40</v>
      </c>
      <c r="H55" s="79" t="s">
        <v>40</v>
      </c>
      <c r="I55" s="79" t="s">
        <v>40</v>
      </c>
      <c r="J55" s="79" t="s">
        <v>40</v>
      </c>
      <c r="K55" s="80" t="s">
        <v>40</v>
      </c>
      <c r="L55" s="79"/>
      <c r="M55" s="79"/>
      <c r="N55" s="79"/>
      <c r="O55" s="36"/>
      <c r="P55" s="36"/>
      <c r="Q55" s="36"/>
      <c r="R55" s="36"/>
      <c r="S55" s="36"/>
      <c r="T55" s="36"/>
      <c r="U55" s="36"/>
      <c r="V55" s="36"/>
      <c r="W55" s="36">
        <f t="shared" si="86"/>
        <v>220668</v>
      </c>
      <c r="X55" s="36">
        <f t="shared" si="93"/>
        <v>230510</v>
      </c>
      <c r="Y55" s="36">
        <f t="shared" si="100"/>
        <v>240870</v>
      </c>
      <c r="Z55" s="36">
        <f t="shared" si="107"/>
        <v>251748</v>
      </c>
      <c r="AA55" s="36">
        <f t="shared" si="114"/>
        <v>263662</v>
      </c>
      <c r="AB55" s="78">
        <f t="shared" si="1"/>
        <v>1207458</v>
      </c>
      <c r="AC55" s="139"/>
      <c r="AD55" s="139"/>
      <c r="AE55" s="139"/>
      <c r="AF55" s="137"/>
      <c r="AG55" s="137"/>
      <c r="AH55" s="137"/>
      <c r="AI55" s="137"/>
      <c r="AJ55" s="137"/>
      <c r="AK55" s="137"/>
      <c r="AL55" s="137"/>
      <c r="AM55" s="137"/>
      <c r="AN55" s="137">
        <f>$C$46*$S$26*$F$26*0.1295</f>
        <v>88267.2</v>
      </c>
      <c r="AO55" s="137">
        <f>$C$47*$R$26*$F$26*0.1295</f>
        <v>92204</v>
      </c>
      <c r="AP55" s="137">
        <f>$C$48*$Q$26*$F$26*0.1295</f>
        <v>96348</v>
      </c>
      <c r="AQ55" s="137">
        <f>$C$49*$P$26*$F$26*0.1295</f>
        <v>100699.2</v>
      </c>
      <c r="AR55" s="139">
        <f>$C$50*$O$26*$F$26*0.1295</f>
        <v>105464.80000000002</v>
      </c>
      <c r="AS55" s="142">
        <f t="shared" si="2"/>
        <v>482983.20000000007</v>
      </c>
      <c r="AT55" s="143"/>
      <c r="AU55" s="143"/>
      <c r="AV55" s="143"/>
      <c r="AW55" s="81"/>
      <c r="AX55" s="36"/>
      <c r="AY55" s="36"/>
      <c r="AZ55" s="36"/>
      <c r="BA55" s="36"/>
      <c r="BB55" s="36"/>
      <c r="BC55" s="36"/>
      <c r="BD55" s="36"/>
      <c r="BE55" s="36">
        <f t="shared" si="87"/>
        <v>89160.75</v>
      </c>
      <c r="BF55" s="36">
        <f t="shared" si="94"/>
        <v>91491.75</v>
      </c>
      <c r="BG55" s="36">
        <f t="shared" si="101"/>
        <v>94405.5</v>
      </c>
      <c r="BH55" s="36">
        <f t="shared" si="108"/>
        <v>97319.25</v>
      </c>
      <c r="BI55" s="81">
        <f t="shared" si="115"/>
        <v>100233</v>
      </c>
      <c r="BJ55" s="47">
        <f t="shared" si="4"/>
        <v>472610.25</v>
      </c>
      <c r="BK55" s="139"/>
      <c r="BL55" s="139"/>
      <c r="BM55" s="139"/>
      <c r="BN55" s="139"/>
      <c r="BO55" s="137"/>
      <c r="BP55" s="137"/>
      <c r="BQ55" s="137"/>
      <c r="BR55" s="137"/>
      <c r="BS55" s="137"/>
      <c r="BT55" s="137"/>
      <c r="BU55" s="137"/>
      <c r="BV55" s="137">
        <f>$D$46*$S$27*$F$27*0.1295</f>
        <v>35664.3</v>
      </c>
      <c r="BW55" s="137">
        <f>$D$47*$R$27*$F$27*0.1295</f>
        <v>36596.700000000004</v>
      </c>
      <c r="BX55" s="137">
        <f>$D$48*$Q$27*$F$27*0.1295</f>
        <v>37762.200000000004</v>
      </c>
      <c r="BY55" s="137">
        <f>$D$49*$P$27*$F$27*0.1295</f>
        <v>38927.700000000004</v>
      </c>
      <c r="BZ55" s="139">
        <f>$D$50*$O$27*$F$27*0.1295</f>
        <v>40093.200000000004</v>
      </c>
      <c r="CA55" s="138">
        <f t="shared" si="5"/>
        <v>189044.10000000003</v>
      </c>
      <c r="CB55" s="143"/>
      <c r="CC55" s="143"/>
      <c r="CD55" s="143"/>
      <c r="CE55" s="36"/>
      <c r="CF55" s="36"/>
      <c r="CG55" s="36"/>
      <c r="CH55" s="36"/>
      <c r="CI55" s="36"/>
      <c r="CJ55" s="36"/>
      <c r="CK55" s="36"/>
      <c r="CL55" s="36"/>
      <c r="CM55" s="36">
        <f t="shared" si="88"/>
        <v>1310540</v>
      </c>
      <c r="CN55" s="36">
        <f t="shared" si="95"/>
        <v>1378527.5</v>
      </c>
      <c r="CO55" s="36">
        <f t="shared" si="102"/>
        <v>1450400</v>
      </c>
      <c r="CP55" s="36">
        <f t="shared" si="109"/>
        <v>1525510</v>
      </c>
      <c r="CQ55" s="81">
        <v>0</v>
      </c>
      <c r="CR55" s="47">
        <f t="shared" si="7"/>
        <v>5664977.5</v>
      </c>
      <c r="CS55" s="139"/>
      <c r="CT55" s="139"/>
      <c r="CU55" s="139"/>
      <c r="CV55" s="137"/>
      <c r="CW55" s="137"/>
      <c r="CX55" s="137"/>
      <c r="CY55" s="137"/>
      <c r="CZ55" s="137"/>
      <c r="DA55" s="137"/>
      <c r="DB55" s="137"/>
      <c r="DC55" s="137"/>
      <c r="DD55" s="137">
        <f>$E$46*$S$28*$F$28*0.1295</f>
        <v>524216</v>
      </c>
      <c r="DE55" s="137">
        <f>$E$47*$R$28*$F$28*0.1295</f>
        <v>551411</v>
      </c>
      <c r="DF55" s="137">
        <f>$E$48*$Q$28*$F$28*0.1295</f>
        <v>580160</v>
      </c>
      <c r="DG55" s="137">
        <f>$E$49*$P$28*$F$28*0.1295</f>
        <v>610204</v>
      </c>
      <c r="DH55" s="139">
        <v>0</v>
      </c>
      <c r="DI55" s="138">
        <f t="shared" si="8"/>
        <v>2265991</v>
      </c>
      <c r="DJ55" s="143"/>
      <c r="DK55" s="143"/>
      <c r="DL55" s="143"/>
      <c r="DM55" s="143"/>
      <c r="DN55" s="36"/>
      <c r="DO55" s="36"/>
      <c r="DP55" s="36"/>
      <c r="DQ55" s="36"/>
      <c r="DR55" s="36"/>
      <c r="DS55" s="36"/>
      <c r="DT55" s="36"/>
      <c r="DU55" s="36">
        <f t="shared" si="89"/>
        <v>437062.5</v>
      </c>
      <c r="DV55" s="36">
        <f t="shared" si="96"/>
        <v>459725</v>
      </c>
      <c r="DW55" s="36">
        <f t="shared" si="103"/>
        <v>483682.5</v>
      </c>
      <c r="DX55" s="36">
        <f t="shared" si="110"/>
        <v>508287.5</v>
      </c>
      <c r="DY55" s="81">
        <v>0</v>
      </c>
      <c r="DZ55" s="78">
        <f>SUM(DJ55:DY55)</f>
        <v>1888757.5</v>
      </c>
      <c r="EA55" s="139"/>
      <c r="EB55" s="139"/>
      <c r="EC55" s="139"/>
      <c r="ED55" s="139"/>
      <c r="EE55" s="137"/>
      <c r="EF55" s="137"/>
      <c r="EG55" s="137"/>
      <c r="EH55" s="137"/>
      <c r="EI55" s="137"/>
      <c r="EJ55" s="137"/>
      <c r="EK55" s="137"/>
      <c r="EL55" s="137">
        <f>$F$46*$S$28*$F$28*0.1295</f>
        <v>174825</v>
      </c>
      <c r="EM55" s="137">
        <f>$F$47*R$28*$F$28*0.1295</f>
        <v>183890</v>
      </c>
      <c r="EN55" s="137">
        <f>$F$48*$Q$28*$F$28*0.1295</f>
        <v>193473</v>
      </c>
      <c r="EO55" s="137">
        <f>$F$49*$P$28*$F$28*0.1295</f>
        <v>203315</v>
      </c>
      <c r="EP55" s="139">
        <v>0</v>
      </c>
      <c r="EQ55" s="138">
        <f>SUM(EA55:EP55)</f>
        <v>755503</v>
      </c>
      <c r="ER55" s="143"/>
      <c r="ES55" s="143"/>
      <c r="ET55" s="143"/>
      <c r="EU55" s="36"/>
      <c r="EV55" s="36"/>
      <c r="EW55" s="36"/>
      <c r="EX55" s="36"/>
      <c r="EY55" s="36"/>
      <c r="EZ55" s="36"/>
      <c r="FA55" s="36"/>
      <c r="FB55" s="36"/>
      <c r="FC55" s="36">
        <f t="shared" si="90"/>
        <v>199430</v>
      </c>
      <c r="FD55" s="36">
        <f t="shared" si="97"/>
        <v>219502.5</v>
      </c>
      <c r="FE55" s="36">
        <f t="shared" si="104"/>
        <v>242165</v>
      </c>
      <c r="FF55" s="36">
        <f t="shared" si="111"/>
        <v>266770</v>
      </c>
      <c r="FG55" s="81">
        <v>0</v>
      </c>
      <c r="FH55" s="47">
        <f>SUM(ER55:FG55)</f>
        <v>927867.5</v>
      </c>
      <c r="FI55" s="139"/>
      <c r="FJ55" s="139"/>
      <c r="FK55" s="139"/>
      <c r="FL55" s="137"/>
      <c r="FM55" s="137"/>
      <c r="FN55" s="137"/>
      <c r="FO55" s="137"/>
      <c r="FP55" s="137"/>
      <c r="FQ55" s="137"/>
      <c r="FR55" s="137"/>
      <c r="FS55" s="137"/>
      <c r="FT55" s="137">
        <f>$G$46*$S$29*$F$29*0.1295</f>
        <v>79772</v>
      </c>
      <c r="FU55" s="137">
        <f>$G$47*$R$29*$F$29*0.1295</f>
        <v>87801</v>
      </c>
      <c r="FV55" s="137">
        <f>$G$48*$Q$29*$F$29*0.1295</f>
        <v>96866</v>
      </c>
      <c r="FW55" s="137">
        <f>$G$49*$P$29*$F$29*0.1295</f>
        <v>106708</v>
      </c>
      <c r="FX55" s="139">
        <v>0</v>
      </c>
      <c r="FY55" s="138">
        <f>SUM(FI55:FX55)</f>
        <v>371147</v>
      </c>
      <c r="FZ55" s="143"/>
      <c r="GA55" s="143"/>
      <c r="GB55" s="143"/>
      <c r="GC55" s="36"/>
      <c r="GD55" s="36"/>
      <c r="GE55" s="36"/>
      <c r="GF55" s="36"/>
      <c r="GG55" s="36"/>
      <c r="GH55" s="36"/>
      <c r="GI55" s="36"/>
      <c r="GJ55" s="36"/>
      <c r="GK55" s="36">
        <f t="shared" si="91"/>
        <v>66692.5</v>
      </c>
      <c r="GL55" s="36">
        <f t="shared" si="98"/>
        <v>73167.5</v>
      </c>
      <c r="GM55" s="36">
        <f t="shared" si="105"/>
        <v>80937.5</v>
      </c>
      <c r="GN55" s="36">
        <f t="shared" si="112"/>
        <v>88707.5</v>
      </c>
      <c r="GO55" s="81">
        <v>0</v>
      </c>
      <c r="GP55" s="47">
        <f>SUM(FZ55:GO55)</f>
        <v>309505</v>
      </c>
      <c r="GQ55" s="139"/>
      <c r="GR55" s="139"/>
      <c r="GS55" s="139"/>
      <c r="GT55" s="137"/>
      <c r="GU55" s="137"/>
      <c r="GV55" s="137"/>
      <c r="GW55" s="137"/>
      <c r="GX55" s="137"/>
      <c r="GY55" s="137"/>
      <c r="GZ55" s="137"/>
      <c r="HA55" s="137"/>
      <c r="HB55" s="137">
        <f>$H$46*$S$29*$F$29*0.1295</f>
        <v>26677</v>
      </c>
      <c r="HC55" s="137">
        <f>$H$47*$R$29*$F$29*0.1295</f>
        <v>29267</v>
      </c>
      <c r="HD55" s="137">
        <f>$H$48*$Q$29*$F$29*0.1295</f>
        <v>32375</v>
      </c>
      <c r="HE55" s="137">
        <f>$H$49*$P$29*$F$29*0.1295</f>
        <v>35483</v>
      </c>
      <c r="HF55" s="139">
        <v>0</v>
      </c>
      <c r="HG55" s="138">
        <f>SUM(GT55:HF55)</f>
        <v>123802</v>
      </c>
      <c r="HH55" s="143"/>
      <c r="HI55" s="143"/>
      <c r="HJ55" s="143"/>
      <c r="HK55" s="36"/>
      <c r="HL55" s="36"/>
      <c r="HM55" s="36"/>
      <c r="HN55" s="36"/>
      <c r="HO55" s="36"/>
      <c r="HP55" s="36"/>
      <c r="HQ55" s="36"/>
      <c r="HR55" s="36"/>
      <c r="HS55" s="36">
        <f t="shared" si="92"/>
        <v>96477.5</v>
      </c>
      <c r="HT55" s="36">
        <f t="shared" si="99"/>
        <v>101657.5</v>
      </c>
      <c r="HU55" s="36">
        <f t="shared" si="106"/>
        <v>106837.5</v>
      </c>
      <c r="HV55" s="36">
        <f t="shared" si="113"/>
        <v>112665</v>
      </c>
      <c r="HW55" s="36">
        <v>0</v>
      </c>
      <c r="HX55" s="47">
        <f>SUM(HH55:HW55)</f>
        <v>417637.5</v>
      </c>
      <c r="HY55" s="139"/>
      <c r="HZ55" s="139"/>
      <c r="IA55" s="139"/>
      <c r="IB55" s="137"/>
      <c r="IC55" s="137"/>
      <c r="ID55" s="137"/>
      <c r="IE55" s="137"/>
      <c r="IF55" s="137"/>
      <c r="IG55" s="137"/>
      <c r="IH55" s="137"/>
      <c r="II55" s="137"/>
      <c r="IJ55" s="137">
        <f>$I$46*$S$28*$F$28*0.1295</f>
        <v>38591</v>
      </c>
      <c r="IK55" s="137">
        <f>$I$47*$R$28*$F$28*0.1295</f>
        <v>40663</v>
      </c>
      <c r="IL55" s="137">
        <f>$I$48*$Q$28*$F$28*0.1295</f>
        <v>42735</v>
      </c>
      <c r="IM55" s="137">
        <f>$I$49*$P$28*$F$28*0.1295</f>
        <v>45066.00000000001</v>
      </c>
      <c r="IN55" s="137">
        <v>0</v>
      </c>
      <c r="IO55" s="138">
        <f>SUM(HY55:IN55)</f>
        <v>167055</v>
      </c>
      <c r="IP55" s="38"/>
      <c r="IQ55" s="78"/>
      <c r="IR55" s="81"/>
      <c r="IS55" s="81"/>
      <c r="IT55" s="5"/>
    </row>
    <row r="56" spans="1:254" ht="18.75">
      <c r="A56" s="9"/>
      <c r="B56" s="49">
        <v>2026</v>
      </c>
      <c r="C56" s="79" t="s">
        <v>40</v>
      </c>
      <c r="D56" s="79" t="s">
        <v>40</v>
      </c>
      <c r="E56" s="79" t="s">
        <v>40</v>
      </c>
      <c r="F56" s="79" t="s">
        <v>40</v>
      </c>
      <c r="G56" s="79" t="s">
        <v>40</v>
      </c>
      <c r="H56" s="79" t="s">
        <v>40</v>
      </c>
      <c r="I56" s="79" t="s">
        <v>40</v>
      </c>
      <c r="J56" s="79" t="s">
        <v>40</v>
      </c>
      <c r="K56" s="80" t="s">
        <v>40</v>
      </c>
      <c r="L56" s="79"/>
      <c r="M56" s="79"/>
      <c r="N56" s="79"/>
      <c r="O56" s="36"/>
      <c r="P56" s="36"/>
      <c r="Q56" s="36"/>
      <c r="R56" s="36"/>
      <c r="S56" s="36"/>
      <c r="T56" s="36"/>
      <c r="U56" s="36"/>
      <c r="V56" s="36"/>
      <c r="W56" s="36"/>
      <c r="X56" s="36">
        <f t="shared" si="93"/>
        <v>230510</v>
      </c>
      <c r="Y56" s="36">
        <f t="shared" si="100"/>
        <v>240870</v>
      </c>
      <c r="Z56" s="36">
        <f t="shared" si="107"/>
        <v>251748</v>
      </c>
      <c r="AA56" s="36">
        <f t="shared" si="114"/>
        <v>263662</v>
      </c>
      <c r="AB56" s="78">
        <f t="shared" si="1"/>
        <v>986790</v>
      </c>
      <c r="AC56" s="139"/>
      <c r="AD56" s="139"/>
      <c r="AE56" s="139"/>
      <c r="AF56" s="137"/>
      <c r="AG56" s="137"/>
      <c r="AH56" s="137"/>
      <c r="AI56" s="137"/>
      <c r="AJ56" s="137"/>
      <c r="AK56" s="137"/>
      <c r="AL56" s="137"/>
      <c r="AM56" s="137"/>
      <c r="AN56" s="137"/>
      <c r="AO56" s="137">
        <f>$C$47*$S$26*$F$26*0.1295</f>
        <v>92204</v>
      </c>
      <c r="AP56" s="137">
        <f>$C$48*$R$26*$F$26*0.1295</f>
        <v>96348</v>
      </c>
      <c r="AQ56" s="137">
        <f>$C$49*$Q$26*$F$26*0.1295</f>
        <v>100699.2</v>
      </c>
      <c r="AR56" s="139">
        <f>$C$50*$P$26*$F$26*0.1295</f>
        <v>105464.80000000002</v>
      </c>
      <c r="AS56" s="142">
        <f t="shared" si="2"/>
        <v>394716</v>
      </c>
      <c r="AT56" s="143"/>
      <c r="AU56" s="143"/>
      <c r="AV56" s="143"/>
      <c r="AW56" s="81"/>
      <c r="AX56" s="36"/>
      <c r="AY56" s="36"/>
      <c r="AZ56" s="36"/>
      <c r="BA56" s="36"/>
      <c r="BB56" s="36"/>
      <c r="BC56" s="36"/>
      <c r="BD56" s="36"/>
      <c r="BE56" s="36"/>
      <c r="BF56" s="36">
        <f t="shared" si="94"/>
        <v>91491.75</v>
      </c>
      <c r="BG56" s="36">
        <f t="shared" si="101"/>
        <v>94405.5</v>
      </c>
      <c r="BH56" s="36">
        <f t="shared" si="108"/>
        <v>97319.25</v>
      </c>
      <c r="BI56" s="81">
        <f t="shared" si="115"/>
        <v>100233</v>
      </c>
      <c r="BJ56" s="47">
        <f t="shared" si="4"/>
        <v>383449.5</v>
      </c>
      <c r="BK56" s="139"/>
      <c r="BL56" s="139"/>
      <c r="BM56" s="139"/>
      <c r="BN56" s="139"/>
      <c r="BO56" s="137"/>
      <c r="BP56" s="137"/>
      <c r="BQ56" s="137"/>
      <c r="BR56" s="137"/>
      <c r="BS56" s="137"/>
      <c r="BT56" s="137"/>
      <c r="BU56" s="137"/>
      <c r="BV56" s="137"/>
      <c r="BW56" s="137">
        <f>$D$47*$S$27*$F$27*0.1295</f>
        <v>36596.700000000004</v>
      </c>
      <c r="BX56" s="137">
        <f>$D$48*$R$27*$F$27*0.1295</f>
        <v>37762.200000000004</v>
      </c>
      <c r="BY56" s="137">
        <f>$D$49*$Q$27*$F$27*0.1295</f>
        <v>38927.700000000004</v>
      </c>
      <c r="BZ56" s="139">
        <f>$D$50*$P$27*$F$27*0.1295</f>
        <v>40093.200000000004</v>
      </c>
      <c r="CA56" s="138">
        <f t="shared" si="5"/>
        <v>153379.80000000002</v>
      </c>
      <c r="CB56" s="143"/>
      <c r="CC56" s="143"/>
      <c r="CD56" s="143"/>
      <c r="CE56" s="36"/>
      <c r="CF56" s="36"/>
      <c r="CG56" s="36"/>
      <c r="CH56" s="36"/>
      <c r="CI56" s="36"/>
      <c r="CJ56" s="36"/>
      <c r="CK56" s="36"/>
      <c r="CL56" s="36"/>
      <c r="CM56" s="36"/>
      <c r="CN56" s="36">
        <f t="shared" si="95"/>
        <v>1378527.5</v>
      </c>
      <c r="CO56" s="36">
        <f t="shared" si="102"/>
        <v>1450400</v>
      </c>
      <c r="CP56" s="36">
        <f t="shared" si="109"/>
        <v>1525510</v>
      </c>
      <c r="CQ56" s="81">
        <v>0</v>
      </c>
      <c r="CR56" s="47">
        <f t="shared" si="7"/>
        <v>4354437.5</v>
      </c>
      <c r="CS56" s="139"/>
      <c r="CT56" s="139"/>
      <c r="CU56" s="139"/>
      <c r="CV56" s="137"/>
      <c r="CW56" s="137"/>
      <c r="CX56" s="137"/>
      <c r="CY56" s="137"/>
      <c r="CZ56" s="137"/>
      <c r="DA56" s="137"/>
      <c r="DB56" s="137"/>
      <c r="DC56" s="137"/>
      <c r="DD56" s="137"/>
      <c r="DE56" s="137">
        <f>$E$47*$S$28*$F$28*0.1295</f>
        <v>551411</v>
      </c>
      <c r="DF56" s="137">
        <f>$E$48*$R$28*$F$28*0.1295</f>
        <v>580160</v>
      </c>
      <c r="DG56" s="137">
        <f>$E$49*$Q$28*$F$28*0.1295</f>
        <v>610204</v>
      </c>
      <c r="DH56" s="139">
        <v>0</v>
      </c>
      <c r="DI56" s="138">
        <f t="shared" si="8"/>
        <v>1741775</v>
      </c>
      <c r="DJ56" s="143"/>
      <c r="DK56" s="143"/>
      <c r="DL56" s="143"/>
      <c r="DM56" s="143"/>
      <c r="DN56" s="36"/>
      <c r="DO56" s="36"/>
      <c r="DP56" s="36"/>
      <c r="DQ56" s="36"/>
      <c r="DR56" s="36"/>
      <c r="DS56" s="36"/>
      <c r="DT56" s="36"/>
      <c r="DU56" s="36"/>
      <c r="DV56" s="36">
        <f t="shared" si="96"/>
        <v>459725</v>
      </c>
      <c r="DW56" s="36">
        <f t="shared" si="103"/>
        <v>483682.5</v>
      </c>
      <c r="DX56" s="36">
        <f t="shared" si="110"/>
        <v>508287.5</v>
      </c>
      <c r="DY56" s="81">
        <v>0</v>
      </c>
      <c r="DZ56" s="78">
        <f>SUM(DJ56:DY56)</f>
        <v>1451695</v>
      </c>
      <c r="EA56" s="139"/>
      <c r="EB56" s="139"/>
      <c r="EC56" s="139"/>
      <c r="ED56" s="139"/>
      <c r="EE56" s="137"/>
      <c r="EF56" s="137"/>
      <c r="EG56" s="137"/>
      <c r="EH56" s="137"/>
      <c r="EI56" s="137"/>
      <c r="EJ56" s="137"/>
      <c r="EK56" s="137"/>
      <c r="EL56" s="137"/>
      <c r="EM56" s="137">
        <f>$F$47*S$28*$F$28*0.1295</f>
        <v>183890</v>
      </c>
      <c r="EN56" s="137">
        <f>$F$48*$R$28*$F$28*0.1295</f>
        <v>193473</v>
      </c>
      <c r="EO56" s="137">
        <f>$F$49*$Q$28*$F$28*0.1295</f>
        <v>203315</v>
      </c>
      <c r="EP56" s="139">
        <v>0</v>
      </c>
      <c r="EQ56" s="138">
        <f>SUM(EA56:EP56)</f>
        <v>580678</v>
      </c>
      <c r="ER56" s="143"/>
      <c r="ES56" s="143"/>
      <c r="ET56" s="143"/>
      <c r="EU56" s="36"/>
      <c r="EV56" s="36"/>
      <c r="EW56" s="36"/>
      <c r="EX56" s="36"/>
      <c r="EY56" s="36"/>
      <c r="EZ56" s="36"/>
      <c r="FA56" s="36"/>
      <c r="FB56" s="36"/>
      <c r="FC56" s="36"/>
      <c r="FD56" s="36">
        <f t="shared" si="97"/>
        <v>219502.5</v>
      </c>
      <c r="FE56" s="36">
        <f t="shared" si="104"/>
        <v>242165</v>
      </c>
      <c r="FF56" s="36">
        <f t="shared" si="111"/>
        <v>266770</v>
      </c>
      <c r="FG56" s="81">
        <v>0</v>
      </c>
      <c r="FH56" s="47">
        <f>SUM(ER56:FG56)</f>
        <v>728437.5</v>
      </c>
      <c r="FI56" s="139"/>
      <c r="FJ56" s="139"/>
      <c r="FK56" s="139"/>
      <c r="FL56" s="137"/>
      <c r="FM56" s="137"/>
      <c r="FN56" s="137"/>
      <c r="FO56" s="137"/>
      <c r="FP56" s="137"/>
      <c r="FQ56" s="137"/>
      <c r="FR56" s="137"/>
      <c r="FS56" s="137"/>
      <c r="FT56" s="137"/>
      <c r="FU56" s="137">
        <f>$G$47*$S$29*$F$29*0.1295</f>
        <v>87801</v>
      </c>
      <c r="FV56" s="137">
        <f>$G$48*$R$29*$F$29*0.1295</f>
        <v>96866</v>
      </c>
      <c r="FW56" s="137">
        <f>$G$49*$Q$29*$F$29*0.1295</f>
        <v>106708</v>
      </c>
      <c r="FX56" s="139">
        <v>0</v>
      </c>
      <c r="FY56" s="138">
        <f>SUM(FI56:FX56)</f>
        <v>291375</v>
      </c>
      <c r="FZ56" s="143"/>
      <c r="GA56" s="143"/>
      <c r="GB56" s="143"/>
      <c r="GC56" s="36"/>
      <c r="GD56" s="36"/>
      <c r="GE56" s="36"/>
      <c r="GF56" s="36"/>
      <c r="GG56" s="36"/>
      <c r="GH56" s="36"/>
      <c r="GI56" s="36"/>
      <c r="GJ56" s="36"/>
      <c r="GK56" s="36"/>
      <c r="GL56" s="36">
        <f t="shared" si="98"/>
        <v>73167.5</v>
      </c>
      <c r="GM56" s="36">
        <f t="shared" si="105"/>
        <v>80937.5</v>
      </c>
      <c r="GN56" s="36">
        <f t="shared" si="112"/>
        <v>88707.5</v>
      </c>
      <c r="GO56" s="81">
        <v>0</v>
      </c>
      <c r="GP56" s="47">
        <f>SUM(FZ56:GO56)</f>
        <v>242812.5</v>
      </c>
      <c r="GQ56" s="139"/>
      <c r="GR56" s="139"/>
      <c r="GS56" s="139"/>
      <c r="GT56" s="137"/>
      <c r="GU56" s="137"/>
      <c r="GV56" s="137"/>
      <c r="GW56" s="137"/>
      <c r="GX56" s="137"/>
      <c r="GY56" s="137"/>
      <c r="GZ56" s="137"/>
      <c r="HA56" s="137"/>
      <c r="HB56" s="137"/>
      <c r="HC56" s="137">
        <f>$H$47*$S$29*$F$29*0.1295</f>
        <v>29267</v>
      </c>
      <c r="HD56" s="137">
        <f>$H$48*$R$29*$F$29*0.1295</f>
        <v>32375</v>
      </c>
      <c r="HE56" s="137">
        <f>$H$49*$Q$29*$F$29*0.1295</f>
        <v>35483</v>
      </c>
      <c r="HF56" s="139">
        <v>0</v>
      </c>
      <c r="HG56" s="138">
        <f>SUM(GT56:HF56)</f>
        <v>97125</v>
      </c>
      <c r="HH56" s="143"/>
      <c r="HI56" s="143"/>
      <c r="HJ56" s="143"/>
      <c r="HK56" s="36"/>
      <c r="HL56" s="36"/>
      <c r="HM56" s="36"/>
      <c r="HN56" s="36"/>
      <c r="HO56" s="36"/>
      <c r="HP56" s="36"/>
      <c r="HQ56" s="36"/>
      <c r="HR56" s="36"/>
      <c r="HS56" s="36"/>
      <c r="HT56" s="36">
        <f t="shared" si="99"/>
        <v>101657.5</v>
      </c>
      <c r="HU56" s="36">
        <f t="shared" si="106"/>
        <v>106837.5</v>
      </c>
      <c r="HV56" s="36">
        <f t="shared" si="113"/>
        <v>112665</v>
      </c>
      <c r="HW56" s="36">
        <v>0</v>
      </c>
      <c r="HX56" s="47">
        <f>SUM(HH56:HW56)</f>
        <v>321160</v>
      </c>
      <c r="HY56" s="139"/>
      <c r="HZ56" s="139"/>
      <c r="IA56" s="139"/>
      <c r="IB56" s="137"/>
      <c r="IC56" s="137"/>
      <c r="ID56" s="137"/>
      <c r="IE56" s="137"/>
      <c r="IF56" s="137"/>
      <c r="IG56" s="137"/>
      <c r="IH56" s="137"/>
      <c r="II56" s="137"/>
      <c r="IJ56" s="137"/>
      <c r="IK56" s="137">
        <f>$I$47*$S$28*$F$28*0.1295</f>
        <v>40663</v>
      </c>
      <c r="IL56" s="137">
        <f>$I$48*$R$28*$F$28*0.1295</f>
        <v>42735</v>
      </c>
      <c r="IM56" s="137">
        <f>$I$49*$Q$28*$F$28*0.1295</f>
        <v>45066.00000000001</v>
      </c>
      <c r="IN56" s="137">
        <v>0</v>
      </c>
      <c r="IO56" s="138">
        <f>SUM(HY56:IN56)</f>
        <v>128464</v>
      </c>
      <c r="IP56" s="38"/>
      <c r="IQ56" s="78"/>
      <c r="IR56" s="81"/>
      <c r="IS56" s="81"/>
      <c r="IT56" s="5"/>
    </row>
    <row r="57" spans="1:254" ht="18.75">
      <c r="A57" s="9"/>
      <c r="B57" s="49">
        <v>2027</v>
      </c>
      <c r="C57" s="79" t="s">
        <v>40</v>
      </c>
      <c r="D57" s="79" t="s">
        <v>40</v>
      </c>
      <c r="E57" s="79" t="s">
        <v>40</v>
      </c>
      <c r="F57" s="79" t="s">
        <v>40</v>
      </c>
      <c r="G57" s="79" t="s">
        <v>40</v>
      </c>
      <c r="H57" s="79" t="s">
        <v>40</v>
      </c>
      <c r="I57" s="79" t="s">
        <v>40</v>
      </c>
      <c r="J57" s="79" t="s">
        <v>40</v>
      </c>
      <c r="K57" s="80" t="s">
        <v>40</v>
      </c>
      <c r="L57" s="79"/>
      <c r="M57" s="79"/>
      <c r="N57" s="79"/>
      <c r="O57" s="36"/>
      <c r="P57" s="36"/>
      <c r="Q57" s="36"/>
      <c r="R57" s="36"/>
      <c r="S57" s="36"/>
      <c r="T57" s="36"/>
      <c r="U57" s="36"/>
      <c r="V57" s="36"/>
      <c r="W57" s="36"/>
      <c r="X57" s="36"/>
      <c r="Y57" s="36">
        <f t="shared" si="100"/>
        <v>240870</v>
      </c>
      <c r="Z57" s="36">
        <f t="shared" si="107"/>
        <v>251748</v>
      </c>
      <c r="AA57" s="36">
        <f t="shared" si="114"/>
        <v>263662</v>
      </c>
      <c r="AB57" s="78">
        <f t="shared" si="1"/>
        <v>756280</v>
      </c>
      <c r="AC57" s="139"/>
      <c r="AD57" s="139"/>
      <c r="AE57" s="139"/>
      <c r="AF57" s="137"/>
      <c r="AG57" s="137"/>
      <c r="AH57" s="137"/>
      <c r="AI57" s="137"/>
      <c r="AJ57" s="137"/>
      <c r="AK57" s="137"/>
      <c r="AL57" s="137"/>
      <c r="AM57" s="137"/>
      <c r="AN57" s="137"/>
      <c r="AO57" s="137"/>
      <c r="AP57" s="137">
        <f>$C$48*$S$26*$F$26*0.1295</f>
        <v>96348</v>
      </c>
      <c r="AQ57" s="137">
        <f>$C$49*$R$26*$F$26*0.1295</f>
        <v>100699.2</v>
      </c>
      <c r="AR57" s="139">
        <f>$C$50*$Q$26*$F$26*0.1295</f>
        <v>105464.80000000002</v>
      </c>
      <c r="AS57" s="142">
        <f t="shared" si="2"/>
        <v>302512</v>
      </c>
      <c r="AT57" s="143"/>
      <c r="AU57" s="143"/>
      <c r="AV57" s="143"/>
      <c r="AW57" s="81"/>
      <c r="AX57" s="36"/>
      <c r="AY57" s="36"/>
      <c r="AZ57" s="36"/>
      <c r="BA57" s="36"/>
      <c r="BB57" s="36"/>
      <c r="BC57" s="36"/>
      <c r="BD57" s="36"/>
      <c r="BE57" s="36"/>
      <c r="BF57" s="36"/>
      <c r="BG57" s="36">
        <f t="shared" si="101"/>
        <v>94405.5</v>
      </c>
      <c r="BH57" s="36">
        <f t="shared" si="108"/>
        <v>97319.25</v>
      </c>
      <c r="BI57" s="81">
        <f t="shared" si="115"/>
        <v>100233</v>
      </c>
      <c r="BJ57" s="47">
        <f t="shared" si="4"/>
        <v>291957.75</v>
      </c>
      <c r="BK57" s="139"/>
      <c r="BL57" s="139"/>
      <c r="BM57" s="139"/>
      <c r="BN57" s="139"/>
      <c r="BO57" s="137"/>
      <c r="BP57" s="137"/>
      <c r="BQ57" s="137"/>
      <c r="BR57" s="137"/>
      <c r="BS57" s="137"/>
      <c r="BT57" s="137"/>
      <c r="BU57" s="137"/>
      <c r="BV57" s="137"/>
      <c r="BW57" s="137"/>
      <c r="BX57" s="137">
        <f>$D$48*$S$27*$F$27*0.1295</f>
        <v>37762.200000000004</v>
      </c>
      <c r="BY57" s="137">
        <f>$D$49*$R$27*$F$27*0.1295</f>
        <v>38927.700000000004</v>
      </c>
      <c r="BZ57" s="139">
        <f>$D$50*$Q$27*$F$27*0.1295</f>
        <v>40093.200000000004</v>
      </c>
      <c r="CA57" s="138">
        <f t="shared" si="5"/>
        <v>116783.1</v>
      </c>
      <c r="CB57" s="143"/>
      <c r="CC57" s="143"/>
      <c r="CD57" s="143"/>
      <c r="CE57" s="36"/>
      <c r="CF57" s="36"/>
      <c r="CG57" s="36"/>
      <c r="CH57" s="36"/>
      <c r="CI57" s="36"/>
      <c r="CJ57" s="36"/>
      <c r="CK57" s="36"/>
      <c r="CL57" s="36"/>
      <c r="CM57" s="36"/>
      <c r="CN57" s="36"/>
      <c r="CO57" s="36">
        <f t="shared" si="102"/>
        <v>1450400</v>
      </c>
      <c r="CP57" s="36">
        <f t="shared" si="109"/>
        <v>1525510</v>
      </c>
      <c r="CQ57" s="81">
        <v>0</v>
      </c>
      <c r="CR57" s="47">
        <f t="shared" si="7"/>
        <v>2975910</v>
      </c>
      <c r="CS57" s="139"/>
      <c r="CT57" s="139"/>
      <c r="CU57" s="139"/>
      <c r="CV57" s="137"/>
      <c r="CW57" s="137"/>
      <c r="CX57" s="137"/>
      <c r="CY57" s="137"/>
      <c r="CZ57" s="137"/>
      <c r="DA57" s="137"/>
      <c r="DB57" s="137"/>
      <c r="DC57" s="137"/>
      <c r="DD57" s="137"/>
      <c r="DE57" s="137"/>
      <c r="DF57" s="137">
        <f>$E$48*$S$28*$F$28*0.1295</f>
        <v>580160</v>
      </c>
      <c r="DG57" s="137">
        <f>$E$49*$R$28*$F$28*0.1295</f>
        <v>610204</v>
      </c>
      <c r="DH57" s="139">
        <v>0</v>
      </c>
      <c r="DI57" s="138">
        <f t="shared" si="8"/>
        <v>1190364</v>
      </c>
      <c r="DJ57" s="143"/>
      <c r="DK57" s="143"/>
      <c r="DL57" s="143"/>
      <c r="DM57" s="143"/>
      <c r="DN57" s="36"/>
      <c r="DO57" s="36"/>
      <c r="DP57" s="36"/>
      <c r="DQ57" s="36"/>
      <c r="DR57" s="36"/>
      <c r="DS57" s="36"/>
      <c r="DT57" s="36"/>
      <c r="DU57" s="36"/>
      <c r="DV57" s="36"/>
      <c r="DW57" s="36">
        <f t="shared" si="103"/>
        <v>483682.5</v>
      </c>
      <c r="DX57" s="36">
        <f t="shared" si="110"/>
        <v>508287.5</v>
      </c>
      <c r="DY57" s="81">
        <v>0</v>
      </c>
      <c r="DZ57" s="78">
        <f>SUM(DJ57:DY57)</f>
        <v>991970</v>
      </c>
      <c r="EA57" s="139"/>
      <c r="EB57" s="139"/>
      <c r="EC57" s="139"/>
      <c r="ED57" s="139"/>
      <c r="EE57" s="137"/>
      <c r="EF57" s="137"/>
      <c r="EG57" s="137"/>
      <c r="EH57" s="137"/>
      <c r="EI57" s="137"/>
      <c r="EJ57" s="137"/>
      <c r="EK57" s="137"/>
      <c r="EL57" s="137"/>
      <c r="EM57" s="137"/>
      <c r="EN57" s="137">
        <f>$F$48*$S$28*$F$28*0.1295</f>
        <v>193473</v>
      </c>
      <c r="EO57" s="137">
        <f>$F$49*$R$28*$F$28*0.1295</f>
        <v>203315</v>
      </c>
      <c r="EP57" s="139">
        <v>0</v>
      </c>
      <c r="EQ57" s="138">
        <f>SUM(EA57:EP57)</f>
        <v>396788</v>
      </c>
      <c r="ER57" s="143"/>
      <c r="ES57" s="143"/>
      <c r="ET57" s="143"/>
      <c r="EU57" s="36"/>
      <c r="EV57" s="36"/>
      <c r="EW57" s="36"/>
      <c r="EX57" s="36"/>
      <c r="EY57" s="36"/>
      <c r="EZ57" s="36"/>
      <c r="FA57" s="36"/>
      <c r="FB57" s="36"/>
      <c r="FC57" s="36"/>
      <c r="FD57" s="36"/>
      <c r="FE57" s="36">
        <f t="shared" si="104"/>
        <v>242165</v>
      </c>
      <c r="FF57" s="36">
        <f t="shared" si="111"/>
        <v>266770</v>
      </c>
      <c r="FG57" s="81">
        <v>0</v>
      </c>
      <c r="FH57" s="47">
        <f>SUM(ER57:FG57)</f>
        <v>508935</v>
      </c>
      <c r="FI57" s="139"/>
      <c r="FJ57" s="139"/>
      <c r="FK57" s="139"/>
      <c r="FL57" s="137"/>
      <c r="FM57" s="137"/>
      <c r="FN57" s="137"/>
      <c r="FO57" s="137"/>
      <c r="FP57" s="137"/>
      <c r="FQ57" s="137"/>
      <c r="FR57" s="137"/>
      <c r="FS57" s="137"/>
      <c r="FT57" s="137"/>
      <c r="FU57" s="137"/>
      <c r="FV57" s="137">
        <f>$G$48*$S$29*$F$29*0.1295</f>
        <v>96866</v>
      </c>
      <c r="FW57" s="137">
        <f>$G$49*$R$29*$F$29*0.1295</f>
        <v>106708</v>
      </c>
      <c r="FX57" s="139">
        <v>0</v>
      </c>
      <c r="FY57" s="138">
        <f>SUM(FI57:FX57)</f>
        <v>203574</v>
      </c>
      <c r="FZ57" s="143"/>
      <c r="GA57" s="143"/>
      <c r="GB57" s="143"/>
      <c r="GC57" s="36"/>
      <c r="GD57" s="36"/>
      <c r="GE57" s="36"/>
      <c r="GF57" s="36"/>
      <c r="GG57" s="36"/>
      <c r="GH57" s="36"/>
      <c r="GI57" s="36"/>
      <c r="GJ57" s="36"/>
      <c r="GK57" s="36"/>
      <c r="GL57" s="36"/>
      <c r="GM57" s="36">
        <f t="shared" si="105"/>
        <v>80937.5</v>
      </c>
      <c r="GN57" s="36">
        <f t="shared" si="112"/>
        <v>88707.5</v>
      </c>
      <c r="GO57" s="81">
        <v>0</v>
      </c>
      <c r="GP57" s="47">
        <f>SUM(FZ57:GO57)</f>
        <v>169645</v>
      </c>
      <c r="GQ57" s="139"/>
      <c r="GR57" s="139"/>
      <c r="GS57" s="139"/>
      <c r="GT57" s="137"/>
      <c r="GU57" s="137"/>
      <c r="GV57" s="137"/>
      <c r="GW57" s="137"/>
      <c r="GX57" s="137"/>
      <c r="GY57" s="137"/>
      <c r="GZ57" s="137"/>
      <c r="HA57" s="137"/>
      <c r="HB57" s="137"/>
      <c r="HC57" s="137"/>
      <c r="HD57" s="137">
        <f>$H$48*$S$29*$F$29*0.1295</f>
        <v>32375</v>
      </c>
      <c r="HE57" s="137">
        <f>$H$49*$R$29*$F$29*0.1295</f>
        <v>35483</v>
      </c>
      <c r="HF57" s="139">
        <v>0</v>
      </c>
      <c r="HG57" s="138">
        <f>SUM(GT57:HF57)</f>
        <v>67858</v>
      </c>
      <c r="HH57" s="143"/>
      <c r="HI57" s="143"/>
      <c r="HJ57" s="143"/>
      <c r="HK57" s="36"/>
      <c r="HL57" s="36"/>
      <c r="HM57" s="36"/>
      <c r="HN57" s="36"/>
      <c r="HO57" s="36"/>
      <c r="HP57" s="36"/>
      <c r="HQ57" s="36"/>
      <c r="HR57" s="36"/>
      <c r="HS57" s="36"/>
      <c r="HT57" s="36"/>
      <c r="HU57" s="36">
        <f t="shared" si="106"/>
        <v>106837.5</v>
      </c>
      <c r="HV57" s="36">
        <f t="shared" si="113"/>
        <v>112665</v>
      </c>
      <c r="HW57" s="36">
        <v>0</v>
      </c>
      <c r="HX57" s="47">
        <f>SUM(HH57:HW57)</f>
        <v>219502.5</v>
      </c>
      <c r="HY57" s="139"/>
      <c r="HZ57" s="139"/>
      <c r="IA57" s="139"/>
      <c r="IB57" s="137"/>
      <c r="IC57" s="137"/>
      <c r="ID57" s="137"/>
      <c r="IE57" s="137"/>
      <c r="IF57" s="137"/>
      <c r="IG57" s="137"/>
      <c r="IH57" s="137"/>
      <c r="II57" s="137"/>
      <c r="IJ57" s="137"/>
      <c r="IK57" s="137"/>
      <c r="IL57" s="137">
        <f>$I$48*$S$28*$F$28*0.1295</f>
        <v>42735</v>
      </c>
      <c r="IM57" s="137">
        <f>$I$49*$R$28*$F$28*0.1295</f>
        <v>45066.00000000001</v>
      </c>
      <c r="IN57" s="137">
        <v>0</v>
      </c>
      <c r="IO57" s="138">
        <f>SUM(HY57:IN57)</f>
        <v>87801</v>
      </c>
      <c r="IP57" s="38"/>
      <c r="IQ57" s="78"/>
      <c r="IR57" s="81"/>
      <c r="IS57" s="81"/>
      <c r="IT57" s="5"/>
    </row>
    <row r="58" spans="1:254" ht="18.75">
      <c r="A58" s="9"/>
      <c r="B58" s="49">
        <v>2028</v>
      </c>
      <c r="C58" s="79" t="s">
        <v>40</v>
      </c>
      <c r="D58" s="79" t="s">
        <v>40</v>
      </c>
      <c r="E58" s="79" t="s">
        <v>40</v>
      </c>
      <c r="F58" s="79" t="s">
        <v>40</v>
      </c>
      <c r="G58" s="79" t="s">
        <v>40</v>
      </c>
      <c r="H58" s="79" t="s">
        <v>40</v>
      </c>
      <c r="I58" s="79" t="s">
        <v>40</v>
      </c>
      <c r="J58" s="79" t="s">
        <v>40</v>
      </c>
      <c r="K58" s="80" t="s">
        <v>40</v>
      </c>
      <c r="L58" s="79"/>
      <c r="M58" s="79"/>
      <c r="N58" s="79"/>
      <c r="O58" s="36"/>
      <c r="P58" s="36"/>
      <c r="Q58" s="36"/>
      <c r="R58" s="36"/>
      <c r="S58" s="36"/>
      <c r="T58" s="36"/>
      <c r="U58" s="36"/>
      <c r="V58" s="36"/>
      <c r="W58" s="36"/>
      <c r="X58" s="36"/>
      <c r="Y58" s="36"/>
      <c r="Z58" s="36">
        <f t="shared" si="107"/>
        <v>251748</v>
      </c>
      <c r="AA58" s="36">
        <f t="shared" si="114"/>
        <v>263662</v>
      </c>
      <c r="AB58" s="78">
        <f t="shared" si="1"/>
        <v>515410</v>
      </c>
      <c r="AC58" s="139"/>
      <c r="AD58" s="139"/>
      <c r="AE58" s="139"/>
      <c r="AF58" s="137"/>
      <c r="AG58" s="137"/>
      <c r="AH58" s="137"/>
      <c r="AI58" s="137"/>
      <c r="AJ58" s="137"/>
      <c r="AK58" s="137"/>
      <c r="AL58" s="137"/>
      <c r="AM58" s="137"/>
      <c r="AN58" s="137"/>
      <c r="AO58" s="137"/>
      <c r="AP58" s="137"/>
      <c r="AQ58" s="137">
        <f>$C$49*$S$26*$F$26*0.1295</f>
        <v>100699.2</v>
      </c>
      <c r="AR58" s="139">
        <f>$C$50*$R$26*$F$26*0.1295</f>
        <v>105464.80000000002</v>
      </c>
      <c r="AS58" s="142">
        <f t="shared" si="2"/>
        <v>206164</v>
      </c>
      <c r="AT58" s="143"/>
      <c r="AU58" s="143"/>
      <c r="AV58" s="143"/>
      <c r="AW58" s="81"/>
      <c r="AX58" s="36"/>
      <c r="AY58" s="36"/>
      <c r="AZ58" s="36"/>
      <c r="BA58" s="36"/>
      <c r="BB58" s="36"/>
      <c r="BC58" s="36"/>
      <c r="BD58" s="36"/>
      <c r="BE58" s="36"/>
      <c r="BF58" s="36"/>
      <c r="BG58" s="36"/>
      <c r="BH58" s="36">
        <f t="shared" si="108"/>
        <v>97319.25</v>
      </c>
      <c r="BI58" s="81">
        <f t="shared" si="115"/>
        <v>100233</v>
      </c>
      <c r="BJ58" s="47">
        <f t="shared" si="4"/>
        <v>197552.25</v>
      </c>
      <c r="BK58" s="139"/>
      <c r="BL58" s="139"/>
      <c r="BM58" s="139"/>
      <c r="BN58" s="139"/>
      <c r="BO58" s="137"/>
      <c r="BP58" s="137"/>
      <c r="BQ58" s="137"/>
      <c r="BR58" s="137"/>
      <c r="BS58" s="137"/>
      <c r="BT58" s="137"/>
      <c r="BU58" s="137"/>
      <c r="BV58" s="137"/>
      <c r="BW58" s="137"/>
      <c r="BX58" s="137"/>
      <c r="BY58" s="137">
        <f>$D$49*$S$27*$F$27*0.1295</f>
        <v>38927.700000000004</v>
      </c>
      <c r="BZ58" s="139">
        <f>$D$50*$R$27*$F$27*0.1295</f>
        <v>40093.200000000004</v>
      </c>
      <c r="CA58" s="138">
        <f t="shared" si="5"/>
        <v>79020.90000000001</v>
      </c>
      <c r="CB58" s="143"/>
      <c r="CC58" s="143"/>
      <c r="CD58" s="143"/>
      <c r="CE58" s="36"/>
      <c r="CF58" s="36"/>
      <c r="CG58" s="36"/>
      <c r="CH58" s="36"/>
      <c r="CI58" s="36"/>
      <c r="CJ58" s="36"/>
      <c r="CK58" s="36"/>
      <c r="CL58" s="36"/>
      <c r="CM58" s="36"/>
      <c r="CN58" s="36"/>
      <c r="CO58" s="36"/>
      <c r="CP58" s="36">
        <f t="shared" si="109"/>
        <v>1525510</v>
      </c>
      <c r="CQ58" s="81">
        <v>0</v>
      </c>
      <c r="CR58" s="47">
        <f t="shared" si="7"/>
        <v>1525510</v>
      </c>
      <c r="CS58" s="139"/>
      <c r="CT58" s="139"/>
      <c r="CU58" s="139"/>
      <c r="CV58" s="137"/>
      <c r="CW58" s="137"/>
      <c r="CX58" s="137"/>
      <c r="CY58" s="137"/>
      <c r="CZ58" s="137"/>
      <c r="DA58" s="137"/>
      <c r="DB58" s="137"/>
      <c r="DC58" s="137"/>
      <c r="DD58" s="137"/>
      <c r="DE58" s="137"/>
      <c r="DF58" s="137"/>
      <c r="DG58" s="137">
        <f>$E$49*$S$28*$F$28*0.1295</f>
        <v>610204</v>
      </c>
      <c r="DH58" s="139">
        <v>0</v>
      </c>
      <c r="DI58" s="138">
        <f t="shared" si="8"/>
        <v>610204</v>
      </c>
      <c r="DJ58" s="143"/>
      <c r="DK58" s="143"/>
      <c r="DL58" s="143"/>
      <c r="DM58" s="143"/>
      <c r="DN58" s="36"/>
      <c r="DO58" s="36"/>
      <c r="DP58" s="36"/>
      <c r="DQ58" s="36"/>
      <c r="DR58" s="36"/>
      <c r="DS58" s="36"/>
      <c r="DT58" s="36"/>
      <c r="DU58" s="36"/>
      <c r="DV58" s="36"/>
      <c r="DW58" s="36"/>
      <c r="DX58" s="36">
        <f t="shared" si="110"/>
        <v>508287.5</v>
      </c>
      <c r="DY58" s="81">
        <v>0</v>
      </c>
      <c r="DZ58" s="78">
        <f>SUM(DJ58:DY58)</f>
        <v>508287.5</v>
      </c>
      <c r="EA58" s="139"/>
      <c r="EB58" s="139"/>
      <c r="EC58" s="139"/>
      <c r="ED58" s="139"/>
      <c r="EE58" s="137"/>
      <c r="EF58" s="137"/>
      <c r="EG58" s="137"/>
      <c r="EH58" s="137"/>
      <c r="EI58" s="137"/>
      <c r="EJ58" s="137"/>
      <c r="EK58" s="137"/>
      <c r="EL58" s="137"/>
      <c r="EM58" s="137"/>
      <c r="EN58" s="137"/>
      <c r="EO58" s="137">
        <f>$F$49*$S$28*$F$28*0.1295</f>
        <v>203315</v>
      </c>
      <c r="EP58" s="139">
        <v>0</v>
      </c>
      <c r="EQ58" s="138">
        <f>SUM(EA58:EP58)</f>
        <v>203315</v>
      </c>
      <c r="ER58" s="143"/>
      <c r="ES58" s="143"/>
      <c r="ET58" s="143"/>
      <c r="EU58" s="36"/>
      <c r="EV58" s="36"/>
      <c r="EW58" s="36"/>
      <c r="EX58" s="36"/>
      <c r="EY58" s="36"/>
      <c r="EZ58" s="36"/>
      <c r="FA58" s="36"/>
      <c r="FB58" s="36"/>
      <c r="FC58" s="36"/>
      <c r="FD58" s="36"/>
      <c r="FE58" s="36"/>
      <c r="FF58" s="36">
        <f t="shared" si="111"/>
        <v>266770</v>
      </c>
      <c r="FG58" s="81">
        <v>0</v>
      </c>
      <c r="FH58" s="47">
        <f>SUM(ER58:FG58)</f>
        <v>266770</v>
      </c>
      <c r="FI58" s="139"/>
      <c r="FJ58" s="139"/>
      <c r="FK58" s="139"/>
      <c r="FL58" s="137"/>
      <c r="FM58" s="137"/>
      <c r="FN58" s="137"/>
      <c r="FO58" s="137"/>
      <c r="FP58" s="137"/>
      <c r="FQ58" s="137"/>
      <c r="FR58" s="137"/>
      <c r="FS58" s="137"/>
      <c r="FT58" s="137"/>
      <c r="FU58" s="137"/>
      <c r="FV58" s="137"/>
      <c r="FW58" s="137">
        <f>$G$49*$S$29*$F$29*0.1295</f>
        <v>106708</v>
      </c>
      <c r="FX58" s="139">
        <v>0</v>
      </c>
      <c r="FY58" s="138">
        <f>SUM(FI58:FX58)</f>
        <v>106708</v>
      </c>
      <c r="FZ58" s="143"/>
      <c r="GA58" s="143"/>
      <c r="GB58" s="143"/>
      <c r="GC58" s="36"/>
      <c r="GD58" s="36"/>
      <c r="GE58" s="36"/>
      <c r="GF58" s="36"/>
      <c r="GG58" s="36"/>
      <c r="GH58" s="36"/>
      <c r="GI58" s="36"/>
      <c r="GJ58" s="36"/>
      <c r="GK58" s="36"/>
      <c r="GL58" s="36"/>
      <c r="GM58" s="36"/>
      <c r="GN58" s="36">
        <f t="shared" si="112"/>
        <v>88707.5</v>
      </c>
      <c r="GO58" s="81">
        <v>0</v>
      </c>
      <c r="GP58" s="47">
        <f>SUM(FZ58:GO58)</f>
        <v>88707.5</v>
      </c>
      <c r="GQ58" s="139"/>
      <c r="GR58" s="139"/>
      <c r="GS58" s="139"/>
      <c r="GT58" s="137"/>
      <c r="GU58" s="137"/>
      <c r="GV58" s="137"/>
      <c r="GW58" s="137"/>
      <c r="GX58" s="137"/>
      <c r="GY58" s="137"/>
      <c r="GZ58" s="137"/>
      <c r="HA58" s="137"/>
      <c r="HB58" s="137"/>
      <c r="HC58" s="137"/>
      <c r="HD58" s="137"/>
      <c r="HE58" s="137">
        <f>$H$49*$S$29*$F$29*0.1295</f>
        <v>35483</v>
      </c>
      <c r="HF58" s="139">
        <v>0</v>
      </c>
      <c r="HG58" s="138">
        <f>SUM(GT58:HF58)</f>
        <v>35483</v>
      </c>
      <c r="HH58" s="143"/>
      <c r="HI58" s="143"/>
      <c r="HJ58" s="143"/>
      <c r="HK58" s="36"/>
      <c r="HL58" s="36"/>
      <c r="HM58" s="36"/>
      <c r="HN58" s="36"/>
      <c r="HO58" s="36"/>
      <c r="HP58" s="36"/>
      <c r="HQ58" s="36"/>
      <c r="HR58" s="36"/>
      <c r="HS58" s="36"/>
      <c r="HT58" s="36"/>
      <c r="HU58" s="36"/>
      <c r="HV58" s="36">
        <f t="shared" si="113"/>
        <v>112665</v>
      </c>
      <c r="HW58" s="36">
        <v>0</v>
      </c>
      <c r="HX58" s="47">
        <f>SUM(HH58:HW58)</f>
        <v>112665</v>
      </c>
      <c r="HY58" s="139"/>
      <c r="HZ58" s="139"/>
      <c r="IA58" s="139"/>
      <c r="IB58" s="137"/>
      <c r="IC58" s="137"/>
      <c r="ID58" s="137"/>
      <c r="IE58" s="137"/>
      <c r="IF58" s="137"/>
      <c r="IG58" s="137"/>
      <c r="IH58" s="137"/>
      <c r="II58" s="137"/>
      <c r="IJ58" s="137"/>
      <c r="IK58" s="137"/>
      <c r="IL58" s="137"/>
      <c r="IM58" s="137">
        <f>$I$49*$S$28*$F$28*0.1295</f>
        <v>45066.00000000001</v>
      </c>
      <c r="IN58" s="137">
        <v>0</v>
      </c>
      <c r="IO58" s="138">
        <f>SUM(HY58:IN58)</f>
        <v>45066.00000000001</v>
      </c>
      <c r="IP58" s="38"/>
      <c r="IQ58" s="78"/>
      <c r="IR58" s="81"/>
      <c r="IS58" s="81"/>
      <c r="IT58" s="5"/>
    </row>
    <row r="59" spans="1:254" ht="18.75">
      <c r="A59" s="9"/>
      <c r="B59" s="49">
        <v>2029</v>
      </c>
      <c r="C59" s="79" t="s">
        <v>40</v>
      </c>
      <c r="D59" s="79" t="s">
        <v>40</v>
      </c>
      <c r="E59" s="79" t="s">
        <v>40</v>
      </c>
      <c r="F59" s="79" t="s">
        <v>40</v>
      </c>
      <c r="G59" s="79" t="s">
        <v>40</v>
      </c>
      <c r="H59" s="79" t="s">
        <v>40</v>
      </c>
      <c r="I59" s="79" t="s">
        <v>40</v>
      </c>
      <c r="J59" s="79" t="s">
        <v>40</v>
      </c>
      <c r="K59" s="80" t="s">
        <v>40</v>
      </c>
      <c r="L59" s="79"/>
      <c r="M59" s="79"/>
      <c r="N59" s="79"/>
      <c r="O59" s="36"/>
      <c r="P59" s="36"/>
      <c r="Q59" s="36"/>
      <c r="R59" s="36"/>
      <c r="S59" s="36"/>
      <c r="T59" s="36"/>
      <c r="U59" s="36"/>
      <c r="V59" s="36"/>
      <c r="W59" s="36"/>
      <c r="X59" s="36"/>
      <c r="Y59" s="36"/>
      <c r="Z59" s="36"/>
      <c r="AA59" s="36">
        <f t="shared" si="114"/>
        <v>263662</v>
      </c>
      <c r="AB59" s="78">
        <f t="shared" si="1"/>
        <v>263662</v>
      </c>
      <c r="AC59" s="139"/>
      <c r="AD59" s="139"/>
      <c r="AE59" s="139"/>
      <c r="AF59" s="137"/>
      <c r="AG59" s="137"/>
      <c r="AH59" s="137"/>
      <c r="AI59" s="137"/>
      <c r="AJ59" s="137"/>
      <c r="AK59" s="137"/>
      <c r="AL59" s="137"/>
      <c r="AM59" s="137"/>
      <c r="AN59" s="137"/>
      <c r="AO59" s="137"/>
      <c r="AP59" s="137"/>
      <c r="AQ59" s="137"/>
      <c r="AR59" s="139">
        <f>$C$50*$S$26*$F$26*0.1295</f>
        <v>105464.80000000002</v>
      </c>
      <c r="AS59" s="142">
        <f t="shared" si="2"/>
        <v>105464.80000000002</v>
      </c>
      <c r="AT59" s="143"/>
      <c r="AU59" s="143"/>
      <c r="AV59" s="143"/>
      <c r="AW59" s="81"/>
      <c r="AX59" s="36"/>
      <c r="AY59" s="36"/>
      <c r="AZ59" s="36"/>
      <c r="BA59" s="36"/>
      <c r="BB59" s="36"/>
      <c r="BC59" s="36"/>
      <c r="BD59" s="36"/>
      <c r="BE59" s="36"/>
      <c r="BF59" s="36"/>
      <c r="BG59" s="36"/>
      <c r="BH59" s="36"/>
      <c r="BI59" s="81">
        <f t="shared" si="115"/>
        <v>100233</v>
      </c>
      <c r="BJ59" s="47">
        <f t="shared" si="4"/>
        <v>100233</v>
      </c>
      <c r="BK59" s="139"/>
      <c r="BL59" s="139"/>
      <c r="BM59" s="139"/>
      <c r="BN59" s="139"/>
      <c r="BO59" s="137"/>
      <c r="BP59" s="137"/>
      <c r="BQ59" s="137"/>
      <c r="BR59" s="137"/>
      <c r="BS59" s="137"/>
      <c r="BT59" s="137"/>
      <c r="BU59" s="137"/>
      <c r="BV59" s="137"/>
      <c r="BW59" s="137"/>
      <c r="BX59" s="137"/>
      <c r="BY59" s="137"/>
      <c r="BZ59" s="139">
        <f>$D$50*$S$27*$F$27*0.1295</f>
        <v>40093.200000000004</v>
      </c>
      <c r="CA59" s="138">
        <f t="shared" si="5"/>
        <v>40093.200000000004</v>
      </c>
      <c r="CB59" s="143"/>
      <c r="CC59" s="143"/>
      <c r="CD59" s="143"/>
      <c r="CE59" s="36"/>
      <c r="CF59" s="36"/>
      <c r="CG59" s="36"/>
      <c r="CH59" s="36"/>
      <c r="CI59" s="36"/>
      <c r="CJ59" s="36"/>
      <c r="CK59" s="36"/>
      <c r="CL59" s="36"/>
      <c r="CM59" s="36"/>
      <c r="CN59" s="36"/>
      <c r="CO59" s="36"/>
      <c r="CP59" s="36"/>
      <c r="CQ59" s="81">
        <v>0</v>
      </c>
      <c r="CR59" s="47">
        <f t="shared" si="7"/>
        <v>0</v>
      </c>
      <c r="CS59" s="139"/>
      <c r="CT59" s="139"/>
      <c r="CU59" s="139"/>
      <c r="CV59" s="137"/>
      <c r="CW59" s="137"/>
      <c r="CX59" s="137"/>
      <c r="CY59" s="137"/>
      <c r="CZ59" s="137"/>
      <c r="DA59" s="137"/>
      <c r="DB59" s="137"/>
      <c r="DC59" s="137"/>
      <c r="DD59" s="137"/>
      <c r="DE59" s="137"/>
      <c r="DF59" s="137"/>
      <c r="DG59" s="137"/>
      <c r="DH59" s="139">
        <v>0</v>
      </c>
      <c r="DI59" s="138">
        <f t="shared" si="8"/>
        <v>0</v>
      </c>
      <c r="DJ59" s="143"/>
      <c r="DK59" s="143"/>
      <c r="DL59" s="143"/>
      <c r="DM59" s="143"/>
      <c r="DN59" s="36"/>
      <c r="DO59" s="36"/>
      <c r="DP59" s="36"/>
      <c r="DQ59" s="36"/>
      <c r="DR59" s="36"/>
      <c r="DS59" s="36"/>
      <c r="DT59" s="36"/>
      <c r="DU59" s="36"/>
      <c r="DV59" s="36"/>
      <c r="DW59" s="36"/>
      <c r="DX59" s="36"/>
      <c r="DY59" s="81">
        <v>0</v>
      </c>
      <c r="DZ59" s="78">
        <f>SUM(DJ59:DY59)</f>
        <v>0</v>
      </c>
      <c r="EA59" s="139"/>
      <c r="EB59" s="139"/>
      <c r="EC59" s="139"/>
      <c r="ED59" s="139"/>
      <c r="EE59" s="137"/>
      <c r="EF59" s="137"/>
      <c r="EG59" s="137"/>
      <c r="EH59" s="137"/>
      <c r="EI59" s="137"/>
      <c r="EJ59" s="137"/>
      <c r="EK59" s="137"/>
      <c r="EL59" s="137"/>
      <c r="EM59" s="137"/>
      <c r="EN59" s="137"/>
      <c r="EO59" s="137"/>
      <c r="EP59" s="139">
        <v>0</v>
      </c>
      <c r="EQ59" s="138">
        <f>SUM(EA59:EP59)</f>
        <v>0</v>
      </c>
      <c r="ER59" s="143"/>
      <c r="ES59" s="143"/>
      <c r="ET59" s="143"/>
      <c r="EU59" s="36"/>
      <c r="EV59" s="36"/>
      <c r="EW59" s="36"/>
      <c r="EX59" s="36"/>
      <c r="EY59" s="36"/>
      <c r="EZ59" s="36"/>
      <c r="FA59" s="36"/>
      <c r="FB59" s="36"/>
      <c r="FC59" s="36"/>
      <c r="FD59" s="36"/>
      <c r="FE59" s="36"/>
      <c r="FF59" s="36"/>
      <c r="FG59" s="81">
        <v>0</v>
      </c>
      <c r="FH59" s="47">
        <f>SUM(ER59:FG59)</f>
        <v>0</v>
      </c>
      <c r="FI59" s="139"/>
      <c r="FJ59" s="139"/>
      <c r="FK59" s="139"/>
      <c r="FL59" s="137"/>
      <c r="FM59" s="137"/>
      <c r="FN59" s="137"/>
      <c r="FO59" s="137"/>
      <c r="FP59" s="137"/>
      <c r="FQ59" s="137"/>
      <c r="FR59" s="137"/>
      <c r="FS59" s="137"/>
      <c r="FT59" s="137"/>
      <c r="FU59" s="137"/>
      <c r="FV59" s="137"/>
      <c r="FW59" s="137"/>
      <c r="FX59" s="139">
        <v>0</v>
      </c>
      <c r="FY59" s="138">
        <f>SUM(FI59:FX59)</f>
        <v>0</v>
      </c>
      <c r="FZ59" s="143"/>
      <c r="GA59" s="143"/>
      <c r="GB59" s="143"/>
      <c r="GC59" s="36"/>
      <c r="GD59" s="36"/>
      <c r="GE59" s="36"/>
      <c r="GF59" s="36"/>
      <c r="GG59" s="36"/>
      <c r="GH59" s="36"/>
      <c r="GI59" s="36"/>
      <c r="GJ59" s="36"/>
      <c r="GK59" s="36"/>
      <c r="GL59" s="36"/>
      <c r="GM59" s="36"/>
      <c r="GN59" s="36"/>
      <c r="GO59" s="81">
        <v>0</v>
      </c>
      <c r="GP59" s="47">
        <f>SUM(FZ59:GO59)</f>
        <v>0</v>
      </c>
      <c r="GQ59" s="139"/>
      <c r="GR59" s="139"/>
      <c r="GS59" s="139"/>
      <c r="GT59" s="137"/>
      <c r="GU59" s="137"/>
      <c r="GV59" s="137"/>
      <c r="GW59" s="137"/>
      <c r="GX59" s="137"/>
      <c r="GY59" s="137"/>
      <c r="GZ59" s="137"/>
      <c r="HA59" s="137"/>
      <c r="HB59" s="137"/>
      <c r="HC59" s="137"/>
      <c r="HD59" s="137"/>
      <c r="HE59" s="137"/>
      <c r="HF59" s="139">
        <v>0</v>
      </c>
      <c r="HG59" s="138">
        <f>SUM(GT59:HF59)</f>
        <v>0</v>
      </c>
      <c r="HH59" s="143"/>
      <c r="HI59" s="143"/>
      <c r="HJ59" s="143"/>
      <c r="HK59" s="36"/>
      <c r="HL59" s="36"/>
      <c r="HM59" s="36"/>
      <c r="HN59" s="36"/>
      <c r="HO59" s="36"/>
      <c r="HP59" s="36"/>
      <c r="HQ59" s="36"/>
      <c r="HR59" s="36"/>
      <c r="HS59" s="36"/>
      <c r="HT59" s="36"/>
      <c r="HU59" s="36"/>
      <c r="HV59" s="36"/>
      <c r="HW59" s="36">
        <v>0</v>
      </c>
      <c r="HX59" s="47">
        <f>SUM(HH59:HW59)</f>
        <v>0</v>
      </c>
      <c r="HY59" s="139"/>
      <c r="HZ59" s="139"/>
      <c r="IA59" s="139"/>
      <c r="IB59" s="137"/>
      <c r="IC59" s="137"/>
      <c r="ID59" s="137"/>
      <c r="IE59" s="137"/>
      <c r="IF59" s="137"/>
      <c r="IG59" s="137"/>
      <c r="IH59" s="137"/>
      <c r="II59" s="137"/>
      <c r="IJ59" s="137"/>
      <c r="IK59" s="137"/>
      <c r="IL59" s="137"/>
      <c r="IM59" s="137"/>
      <c r="IN59" s="137">
        <v>0</v>
      </c>
      <c r="IO59" s="138">
        <f>SUM(HY59:IN59)</f>
        <v>0</v>
      </c>
      <c r="IP59" s="38"/>
      <c r="IQ59" s="78"/>
      <c r="IR59" s="81"/>
      <c r="IS59" s="81"/>
      <c r="IT59" s="5"/>
    </row>
    <row r="60" spans="1:256" ht="18.75">
      <c r="A60" s="9"/>
      <c r="B60" s="66"/>
      <c r="C60" s="79"/>
      <c r="D60" s="79"/>
      <c r="E60" s="79"/>
      <c r="F60" s="79"/>
      <c r="G60" s="79"/>
      <c r="H60" s="79"/>
      <c r="I60" s="79"/>
      <c r="J60" s="79"/>
      <c r="K60" s="83">
        <f>SUM(K34:K50)</f>
        <v>78857</v>
      </c>
      <c r="L60" s="83"/>
      <c r="M60" s="83"/>
      <c r="N60" s="83"/>
      <c r="O60" s="36"/>
      <c r="P60" s="36"/>
      <c r="Q60" s="36"/>
      <c r="R60" s="36"/>
      <c r="S60" s="36"/>
      <c r="T60" s="36"/>
      <c r="U60" s="36"/>
      <c r="V60" s="36"/>
      <c r="W60" s="36"/>
      <c r="X60" s="36"/>
      <c r="Y60" s="36"/>
      <c r="Z60" s="36"/>
      <c r="AA60" s="81"/>
      <c r="AB60" s="81"/>
      <c r="AC60" s="81"/>
      <c r="AD60" s="81"/>
      <c r="AE60" s="81"/>
      <c r="AF60" s="81"/>
      <c r="AG60" s="81"/>
      <c r="AH60" s="81"/>
      <c r="AI60" s="81"/>
      <c r="AJ60" s="81"/>
      <c r="AK60" s="81"/>
      <c r="AL60" s="81"/>
      <c r="AM60" s="81"/>
      <c r="AN60" s="81"/>
      <c r="AO60" s="81"/>
      <c r="AP60" s="81"/>
      <c r="AQ60" s="81"/>
      <c r="AR60" s="81"/>
      <c r="AS60" s="81"/>
      <c r="AT60" s="81"/>
      <c r="AU60" s="81"/>
      <c r="AV60" s="81"/>
      <c r="AW60" s="36"/>
      <c r="AX60" s="36"/>
      <c r="AY60" s="36"/>
      <c r="AZ60" s="36"/>
      <c r="BA60" s="36"/>
      <c r="BB60" s="36"/>
      <c r="BC60" s="36"/>
      <c r="BD60" s="36"/>
      <c r="BE60" s="36"/>
      <c r="BF60" s="36"/>
      <c r="BG60" s="36"/>
      <c r="BH60" s="36"/>
      <c r="BI60" s="81"/>
      <c r="BJ60" s="81"/>
      <c r="BK60" s="81"/>
      <c r="BL60" s="81"/>
      <c r="BM60" s="81"/>
      <c r="BN60" s="81"/>
      <c r="BO60" s="81"/>
      <c r="BP60" s="81"/>
      <c r="BQ60" s="81"/>
      <c r="BR60" s="81"/>
      <c r="BS60" s="81"/>
      <c r="BT60" s="81"/>
      <c r="BU60" s="81"/>
      <c r="BV60" s="81"/>
      <c r="BW60" s="81"/>
      <c r="BX60" s="81"/>
      <c r="BY60" s="81"/>
      <c r="BZ60" s="81"/>
      <c r="CA60" s="81"/>
      <c r="CB60" s="81"/>
      <c r="CC60" s="81"/>
      <c r="CD60" s="81"/>
      <c r="CE60" s="36"/>
      <c r="CF60" s="36"/>
      <c r="CG60" s="36"/>
      <c r="CH60" s="36"/>
      <c r="CI60" s="36"/>
      <c r="CJ60" s="36"/>
      <c r="CK60" s="36"/>
      <c r="CL60" s="36"/>
      <c r="CM60" s="36"/>
      <c r="CN60" s="36"/>
      <c r="CO60" s="36"/>
      <c r="CP60" s="36"/>
      <c r="CQ60" s="81"/>
      <c r="CR60" s="81"/>
      <c r="CS60" s="81"/>
      <c r="CT60" s="81"/>
      <c r="CU60" s="81"/>
      <c r="CV60" s="81"/>
      <c r="CW60" s="81"/>
      <c r="CX60" s="81"/>
      <c r="CY60" s="81"/>
      <c r="CZ60" s="81"/>
      <c r="DA60" s="81"/>
      <c r="DB60" s="81"/>
      <c r="DC60" s="81"/>
      <c r="DD60" s="81"/>
      <c r="DE60" s="81"/>
      <c r="DF60" s="81"/>
      <c r="DG60" s="81"/>
      <c r="DH60" s="63"/>
      <c r="DI60" s="9"/>
      <c r="DJ60" s="9"/>
      <c r="DK60" s="9"/>
      <c r="DL60" s="9"/>
      <c r="DM60" s="9"/>
      <c r="DN60" s="36"/>
      <c r="DO60" s="36"/>
      <c r="DP60" s="36"/>
      <c r="DQ60" s="36"/>
      <c r="DR60" s="36"/>
      <c r="DS60" s="36"/>
      <c r="DT60" s="36"/>
      <c r="DU60" s="36"/>
      <c r="DV60" s="36"/>
      <c r="DW60" s="36"/>
      <c r="DX60" s="36"/>
      <c r="DY60" s="81"/>
      <c r="DZ60" s="81"/>
      <c r="EA60" s="81"/>
      <c r="EB60" s="81"/>
      <c r="EC60" s="81"/>
      <c r="ED60" s="81"/>
      <c r="EE60" s="81"/>
      <c r="EF60" s="81"/>
      <c r="EG60" s="81"/>
      <c r="EH60" s="81"/>
      <c r="EI60" s="81"/>
      <c r="EJ60" s="81"/>
      <c r="EK60" s="81"/>
      <c r="EL60" s="81"/>
      <c r="EM60" s="81"/>
      <c r="EN60" s="81"/>
      <c r="EO60" s="81"/>
      <c r="EP60" s="81"/>
      <c r="EQ60" s="81"/>
      <c r="ER60" s="81"/>
      <c r="ES60" s="81"/>
      <c r="ET60" s="81"/>
      <c r="EU60" s="36"/>
      <c r="EV60" s="36"/>
      <c r="EW60" s="36"/>
      <c r="EX60" s="36"/>
      <c r="EY60" s="36"/>
      <c r="EZ60" s="36"/>
      <c r="FA60" s="36"/>
      <c r="FB60" s="36"/>
      <c r="FC60" s="36"/>
      <c r="FD60" s="36"/>
      <c r="FE60" s="36"/>
      <c r="FF60" s="36"/>
      <c r="FG60" s="81"/>
      <c r="FH60" s="81"/>
      <c r="FI60" s="81"/>
      <c r="FJ60" s="81"/>
      <c r="FK60" s="81"/>
      <c r="FL60" s="81"/>
      <c r="FM60" s="81"/>
      <c r="FN60" s="81"/>
      <c r="FO60" s="81"/>
      <c r="FP60" s="81"/>
      <c r="FQ60" s="81"/>
      <c r="FR60" s="81"/>
      <c r="FS60" s="81"/>
      <c r="FT60" s="81"/>
      <c r="FU60" s="81"/>
      <c r="FV60" s="81"/>
      <c r="FW60" s="81"/>
      <c r="FX60" s="81"/>
      <c r="FY60" s="81"/>
      <c r="FZ60" s="81"/>
      <c r="GA60" s="81"/>
      <c r="GB60" s="81"/>
      <c r="GC60" s="36"/>
      <c r="GD60" s="36"/>
      <c r="GE60" s="36"/>
      <c r="GF60" s="36"/>
      <c r="GG60" s="36"/>
      <c r="GH60" s="36"/>
      <c r="GI60" s="36"/>
      <c r="GJ60" s="36"/>
      <c r="GK60" s="36"/>
      <c r="GL60" s="36"/>
      <c r="GM60" s="36"/>
      <c r="GN60" s="36"/>
      <c r="GO60" s="81"/>
      <c r="GP60" s="81"/>
      <c r="GQ60" s="81"/>
      <c r="GR60" s="81"/>
      <c r="GS60" s="81"/>
      <c r="GT60" s="143"/>
      <c r="GU60" s="143"/>
      <c r="GV60" s="143"/>
      <c r="GW60" s="143"/>
      <c r="GX60" s="143"/>
      <c r="GY60" s="143"/>
      <c r="GZ60" s="143"/>
      <c r="HA60" s="143"/>
      <c r="HB60" s="143"/>
      <c r="HC60" s="143"/>
      <c r="HD60" s="143"/>
      <c r="HE60" s="143"/>
      <c r="HF60" s="143"/>
      <c r="HG60" s="143"/>
      <c r="HH60" s="143"/>
      <c r="HI60" s="143"/>
      <c r="HJ60" s="143"/>
      <c r="HK60" s="36"/>
      <c r="HL60" s="36"/>
      <c r="HM60" s="36"/>
      <c r="HN60" s="36"/>
      <c r="HO60" s="36"/>
      <c r="HP60" s="36"/>
      <c r="HQ60" s="36"/>
      <c r="HR60" s="36"/>
      <c r="HS60" s="36"/>
      <c r="HT60" s="36"/>
      <c r="HU60" s="32"/>
      <c r="HV60" s="32"/>
      <c r="HW60" s="36"/>
      <c r="HX60" s="81"/>
      <c r="HY60" s="36"/>
      <c r="HZ60" s="36"/>
      <c r="IA60" s="36"/>
      <c r="IB60" s="36"/>
      <c r="IC60" s="36"/>
      <c r="ID60" s="36"/>
      <c r="IE60" s="36"/>
      <c r="IF60" s="36"/>
      <c r="IG60" s="36"/>
      <c r="IH60" s="36"/>
      <c r="II60" s="36"/>
      <c r="IJ60" s="36"/>
      <c r="IK60" s="36"/>
      <c r="IL60" s="36"/>
      <c r="IM60" s="36"/>
      <c r="IN60" s="36"/>
      <c r="IO60" s="36"/>
      <c r="IP60" s="61">
        <f>SUM(IP38:IP50)</f>
        <v>334430866.4861785</v>
      </c>
      <c r="IQ60" s="139">
        <f>SUM(IQ38:IQ50)</f>
        <v>40199672.85071462</v>
      </c>
      <c r="IR60" s="139"/>
      <c r="IS60" s="139"/>
      <c r="IT60" s="36">
        <f>SUM(IT38:IT50)</f>
        <v>267676270.09310982</v>
      </c>
      <c r="IU60" s="36"/>
      <c r="IV60" s="36"/>
    </row>
    <row r="61" spans="1:256" ht="18.75">
      <c r="A61" s="9"/>
      <c r="B61" s="66"/>
      <c r="C61" s="79"/>
      <c r="D61" s="79"/>
      <c r="E61" s="79"/>
      <c r="F61" s="79"/>
      <c r="G61" s="79"/>
      <c r="H61" s="79"/>
      <c r="I61" s="79"/>
      <c r="J61" s="79"/>
      <c r="K61" s="83"/>
      <c r="L61" s="83"/>
      <c r="M61" s="83"/>
      <c r="N61" s="83"/>
      <c r="O61" s="36"/>
      <c r="P61" s="36"/>
      <c r="Q61" s="36"/>
      <c r="R61" s="36"/>
      <c r="S61" s="36"/>
      <c r="T61" s="36"/>
      <c r="U61" s="36"/>
      <c r="V61" s="36"/>
      <c r="W61" s="36"/>
      <c r="X61" s="36"/>
      <c r="Y61" s="36"/>
      <c r="Z61" s="36"/>
      <c r="AA61" s="81"/>
      <c r="AB61" s="81"/>
      <c r="AC61" s="81"/>
      <c r="AD61" s="81"/>
      <c r="AE61" s="81"/>
      <c r="AF61" s="81"/>
      <c r="AG61" s="81"/>
      <c r="AH61" s="81"/>
      <c r="AI61" s="81"/>
      <c r="AJ61" s="81"/>
      <c r="AK61" s="81"/>
      <c r="AL61" s="81"/>
      <c r="AM61" s="81"/>
      <c r="AN61" s="81"/>
      <c r="AO61" s="81"/>
      <c r="AP61" s="81"/>
      <c r="AQ61" s="81"/>
      <c r="AR61" s="81"/>
      <c r="AS61" s="81"/>
      <c r="AT61" s="81"/>
      <c r="AU61" s="81"/>
      <c r="AV61" s="81"/>
      <c r="AW61" s="36"/>
      <c r="AX61" s="36"/>
      <c r="AY61" s="36"/>
      <c r="AZ61" s="36"/>
      <c r="BA61" s="36"/>
      <c r="BB61" s="36"/>
      <c r="BC61" s="36"/>
      <c r="BD61" s="36"/>
      <c r="BE61" s="36"/>
      <c r="BF61" s="36"/>
      <c r="BG61" s="36"/>
      <c r="BH61" s="36"/>
      <c r="BI61" s="81"/>
      <c r="BJ61" s="81"/>
      <c r="BK61" s="81"/>
      <c r="BL61" s="81"/>
      <c r="BM61" s="81"/>
      <c r="BN61" s="81"/>
      <c r="BO61" s="81"/>
      <c r="BP61" s="81"/>
      <c r="BQ61" s="81"/>
      <c r="BR61" s="81"/>
      <c r="BS61" s="81"/>
      <c r="BT61" s="81"/>
      <c r="BU61" s="81"/>
      <c r="BV61" s="81"/>
      <c r="BW61" s="81"/>
      <c r="BX61" s="81"/>
      <c r="BY61" s="81"/>
      <c r="BZ61" s="81"/>
      <c r="CA61" s="81"/>
      <c r="CB61" s="81"/>
      <c r="CC61" s="81"/>
      <c r="CD61" s="81"/>
      <c r="CE61" s="36"/>
      <c r="CF61" s="36"/>
      <c r="CG61" s="36"/>
      <c r="CH61" s="36"/>
      <c r="CI61" s="36"/>
      <c r="CJ61" s="36"/>
      <c r="CK61" s="36"/>
      <c r="CL61" s="36"/>
      <c r="CM61" s="36"/>
      <c r="CN61" s="36"/>
      <c r="CO61" s="36"/>
      <c r="CP61" s="36"/>
      <c r="CQ61" s="81"/>
      <c r="CR61" s="81"/>
      <c r="CS61" s="81"/>
      <c r="CT61" s="81"/>
      <c r="CU61" s="81"/>
      <c r="CV61" s="81"/>
      <c r="CW61" s="81"/>
      <c r="CX61" s="81"/>
      <c r="CY61" s="81"/>
      <c r="CZ61" s="81"/>
      <c r="DA61" s="81"/>
      <c r="DB61" s="81"/>
      <c r="DC61" s="81"/>
      <c r="DD61" s="81"/>
      <c r="DE61" s="81"/>
      <c r="DF61" s="81"/>
      <c r="DG61" s="81"/>
      <c r="DH61" s="9"/>
      <c r="DI61" s="9"/>
      <c r="DJ61" s="9"/>
      <c r="DK61" s="9"/>
      <c r="DL61" s="9"/>
      <c r="DM61" s="9"/>
      <c r="DN61" s="36"/>
      <c r="DO61" s="36"/>
      <c r="DP61" s="36"/>
      <c r="DQ61" s="36"/>
      <c r="DR61" s="36"/>
      <c r="DS61" s="36"/>
      <c r="DT61" s="36"/>
      <c r="DU61" s="36"/>
      <c r="DV61" s="36"/>
      <c r="DW61" s="36"/>
      <c r="DX61" s="36"/>
      <c r="DY61" s="81"/>
      <c r="DZ61" s="81"/>
      <c r="EA61" s="81"/>
      <c r="EB61" s="81"/>
      <c r="EC61" s="81"/>
      <c r="ED61" s="81"/>
      <c r="EE61" s="81"/>
      <c r="EF61" s="81"/>
      <c r="EG61" s="81"/>
      <c r="EH61" s="81"/>
      <c r="EI61" s="81"/>
      <c r="EJ61" s="81"/>
      <c r="EK61" s="81"/>
      <c r="EL61" s="81"/>
      <c r="EM61" s="81"/>
      <c r="EN61" s="81"/>
      <c r="EO61" s="81"/>
      <c r="EP61" s="81"/>
      <c r="EQ61" s="81"/>
      <c r="ER61" s="81"/>
      <c r="ES61" s="81"/>
      <c r="ET61" s="81"/>
      <c r="EU61" s="36"/>
      <c r="EV61" s="36"/>
      <c r="EW61" s="36"/>
      <c r="EX61" s="36"/>
      <c r="EY61" s="36"/>
      <c r="EZ61" s="36"/>
      <c r="FA61" s="36"/>
      <c r="FB61" s="36"/>
      <c r="FC61" s="36"/>
      <c r="FD61" s="36"/>
      <c r="FE61" s="36"/>
      <c r="FF61" s="36"/>
      <c r="FG61" s="81"/>
      <c r="FH61" s="81"/>
      <c r="FI61" s="81"/>
      <c r="FJ61" s="81"/>
      <c r="FK61" s="81"/>
      <c r="FL61" s="81"/>
      <c r="FM61" s="81"/>
      <c r="FN61" s="81"/>
      <c r="FO61" s="81"/>
      <c r="FP61" s="81"/>
      <c r="FQ61" s="81"/>
      <c r="FR61" s="81"/>
      <c r="FS61" s="81"/>
      <c r="FT61" s="81"/>
      <c r="FU61" s="81"/>
      <c r="FV61" s="81"/>
      <c r="FW61" s="81"/>
      <c r="FX61" s="81"/>
      <c r="FY61" s="81"/>
      <c r="FZ61" s="81"/>
      <c r="GA61" s="81"/>
      <c r="GB61" s="81"/>
      <c r="GC61" s="36"/>
      <c r="GD61" s="36"/>
      <c r="GE61" s="36"/>
      <c r="GF61" s="36"/>
      <c r="GG61" s="36"/>
      <c r="GH61" s="36"/>
      <c r="GI61" s="36"/>
      <c r="GJ61" s="36"/>
      <c r="GK61" s="36"/>
      <c r="GL61" s="36"/>
      <c r="GM61" s="36"/>
      <c r="GN61" s="36"/>
      <c r="GO61" s="81"/>
      <c r="GP61" s="81"/>
      <c r="GQ61" s="81"/>
      <c r="GR61" s="81"/>
      <c r="GS61" s="81"/>
      <c r="GT61" s="143"/>
      <c r="GU61" s="143"/>
      <c r="GV61" s="143"/>
      <c r="GW61" s="143"/>
      <c r="GX61" s="143"/>
      <c r="GY61" s="143"/>
      <c r="GZ61" s="143"/>
      <c r="HA61" s="143"/>
      <c r="HB61" s="143"/>
      <c r="HC61" s="143"/>
      <c r="HD61" s="143"/>
      <c r="HE61" s="143"/>
      <c r="HF61" s="143"/>
      <c r="HG61" s="143"/>
      <c r="HH61" s="143"/>
      <c r="HI61" s="143"/>
      <c r="HJ61" s="143"/>
      <c r="HK61" s="36"/>
      <c r="HL61" s="36"/>
      <c r="HM61" s="36"/>
      <c r="HN61" s="36"/>
      <c r="HO61" s="36"/>
      <c r="HP61" s="36"/>
      <c r="HQ61" s="36"/>
      <c r="HR61" s="36"/>
      <c r="HS61" s="36"/>
      <c r="HT61" s="36"/>
      <c r="HU61" s="32"/>
      <c r="HV61" s="32"/>
      <c r="HW61" s="36"/>
      <c r="HX61" s="36"/>
      <c r="HY61" s="36"/>
      <c r="HZ61" s="36"/>
      <c r="IA61" s="36"/>
      <c r="IB61" s="36"/>
      <c r="IC61" s="36"/>
      <c r="ID61" s="36"/>
      <c r="IE61" s="36"/>
      <c r="IF61" s="36"/>
      <c r="IG61" s="36"/>
      <c r="IH61" s="36"/>
      <c r="II61" s="36"/>
      <c r="IJ61" s="36"/>
      <c r="IK61" s="36"/>
      <c r="IL61" s="36"/>
      <c r="IM61" s="36"/>
      <c r="IN61" s="36"/>
      <c r="IO61" s="36"/>
      <c r="IP61" s="61"/>
      <c r="IQ61" s="81"/>
      <c r="IR61" s="81"/>
      <c r="IS61" s="81"/>
      <c r="IT61" s="36"/>
      <c r="IU61" s="36"/>
      <c r="IV61" s="36"/>
    </row>
    <row r="62" spans="1:256" ht="18.75">
      <c r="A62" s="9"/>
      <c r="B62" s="66"/>
      <c r="C62" s="79"/>
      <c r="D62" s="79"/>
      <c r="E62" s="79"/>
      <c r="F62" s="79"/>
      <c r="G62" s="79"/>
      <c r="H62" s="79"/>
      <c r="I62" s="120"/>
      <c r="K62" s="83"/>
      <c r="L62" s="83"/>
      <c r="M62" s="83"/>
      <c r="N62" s="83"/>
      <c r="O62" s="36"/>
      <c r="P62" s="36"/>
      <c r="Q62" s="36"/>
      <c r="R62" s="36"/>
      <c r="S62" s="36"/>
      <c r="T62" s="36"/>
      <c r="U62" s="36"/>
      <c r="V62" s="36"/>
      <c r="W62" s="36"/>
      <c r="X62" s="36"/>
      <c r="Y62" s="36"/>
      <c r="Z62" s="36"/>
      <c r="AA62" s="81"/>
      <c r="AB62" s="81"/>
      <c r="AC62" s="81"/>
      <c r="AD62" s="81"/>
      <c r="AE62" s="81"/>
      <c r="AF62" s="81"/>
      <c r="AG62" s="81"/>
      <c r="AH62" s="81"/>
      <c r="AI62" s="81"/>
      <c r="AJ62" s="81"/>
      <c r="AK62" s="81"/>
      <c r="AL62" s="81"/>
      <c r="AM62" s="81"/>
      <c r="AN62" s="81"/>
      <c r="AO62" s="81"/>
      <c r="AP62" s="81"/>
      <c r="AQ62" s="81"/>
      <c r="AR62" s="81"/>
      <c r="AS62" s="81"/>
      <c r="AT62" s="81"/>
      <c r="AU62" s="81"/>
      <c r="AV62" s="81"/>
      <c r="AW62" s="36"/>
      <c r="AX62" s="36"/>
      <c r="AY62" s="36"/>
      <c r="AZ62" s="36"/>
      <c r="BA62" s="36"/>
      <c r="BB62" s="36"/>
      <c r="BC62" s="36"/>
      <c r="BD62" s="36"/>
      <c r="BE62" s="36"/>
      <c r="BF62" s="36"/>
      <c r="BG62" s="36"/>
      <c r="BH62" s="36"/>
      <c r="BI62" s="81"/>
      <c r="BJ62" s="81"/>
      <c r="BK62" s="81"/>
      <c r="BL62" s="81"/>
      <c r="BM62" s="81"/>
      <c r="BN62" s="81"/>
      <c r="BO62" s="81"/>
      <c r="BP62" s="81"/>
      <c r="BQ62" s="81"/>
      <c r="BR62" s="81"/>
      <c r="BS62" s="81"/>
      <c r="BT62" s="81"/>
      <c r="BU62" s="81"/>
      <c r="BV62" s="81"/>
      <c r="BW62" s="81"/>
      <c r="BX62" s="81"/>
      <c r="BY62" s="81"/>
      <c r="BZ62" s="81"/>
      <c r="CA62" s="81"/>
      <c r="CB62" s="81"/>
      <c r="CC62" s="81"/>
      <c r="CD62" s="81"/>
      <c r="CE62" s="36"/>
      <c r="CF62" s="36"/>
      <c r="CG62" s="36"/>
      <c r="CH62" s="36"/>
      <c r="CI62" s="36"/>
      <c r="CJ62" s="36"/>
      <c r="CK62" s="36"/>
      <c r="CL62" s="36"/>
      <c r="CM62" s="36"/>
      <c r="CN62" s="36"/>
      <c r="CO62" s="36"/>
      <c r="CP62" s="36"/>
      <c r="CQ62" s="81"/>
      <c r="CR62" s="81"/>
      <c r="CS62" s="81"/>
      <c r="CT62" s="81"/>
      <c r="CU62" s="81"/>
      <c r="CV62" s="81"/>
      <c r="CW62" s="81"/>
      <c r="CX62" s="81"/>
      <c r="CY62" s="81"/>
      <c r="CZ62" s="81"/>
      <c r="DA62" s="81"/>
      <c r="DB62" s="81"/>
      <c r="DC62" s="81"/>
      <c r="DD62" s="81"/>
      <c r="DE62" s="81"/>
      <c r="DF62" s="81"/>
      <c r="DG62" s="81"/>
      <c r="DH62" s="9"/>
      <c r="DI62" s="9"/>
      <c r="DJ62" s="9"/>
      <c r="DK62" s="9"/>
      <c r="DL62" s="9"/>
      <c r="DM62" s="9"/>
      <c r="DN62" s="36"/>
      <c r="DO62" s="36"/>
      <c r="DP62" s="36"/>
      <c r="DQ62" s="36"/>
      <c r="DR62" s="36"/>
      <c r="DS62" s="36"/>
      <c r="DT62" s="36"/>
      <c r="DU62" s="36"/>
      <c r="DV62" s="36"/>
      <c r="DW62" s="36"/>
      <c r="DX62" s="36"/>
      <c r="DY62" s="81"/>
      <c r="DZ62" s="81"/>
      <c r="EA62" s="81"/>
      <c r="EB62" s="81"/>
      <c r="EC62" s="81"/>
      <c r="ED62" s="81"/>
      <c r="EE62" s="81"/>
      <c r="EF62" s="81"/>
      <c r="EG62" s="81"/>
      <c r="EH62" s="81"/>
      <c r="EI62" s="81"/>
      <c r="EJ62" s="81"/>
      <c r="EK62" s="81"/>
      <c r="EL62" s="81"/>
      <c r="EM62" s="81"/>
      <c r="EN62" s="81"/>
      <c r="EO62" s="81"/>
      <c r="EP62" s="81"/>
      <c r="EQ62" s="81"/>
      <c r="ER62" s="81"/>
      <c r="ES62" s="81"/>
      <c r="ET62" s="81"/>
      <c r="EU62" s="36"/>
      <c r="EV62" s="36"/>
      <c r="EW62" s="36"/>
      <c r="EX62" s="36"/>
      <c r="EY62" s="36"/>
      <c r="EZ62" s="36"/>
      <c r="FA62" s="36"/>
      <c r="FB62" s="36"/>
      <c r="FC62" s="36"/>
      <c r="FD62" s="36"/>
      <c r="FE62" s="36"/>
      <c r="FF62" s="36"/>
      <c r="FG62" s="81"/>
      <c r="FH62" s="81"/>
      <c r="FI62" s="81"/>
      <c r="FJ62" s="81"/>
      <c r="FK62" s="81"/>
      <c r="FL62" s="81"/>
      <c r="FM62" s="81"/>
      <c r="FN62" s="81"/>
      <c r="FO62" s="81"/>
      <c r="FP62" s="81"/>
      <c r="FQ62" s="81"/>
      <c r="FR62" s="81"/>
      <c r="FS62" s="81"/>
      <c r="FT62" s="81"/>
      <c r="FU62" s="81"/>
      <c r="FV62" s="81"/>
      <c r="FW62" s="81"/>
      <c r="FX62" s="81"/>
      <c r="FY62" s="81"/>
      <c r="FZ62" s="81"/>
      <c r="GA62" s="81"/>
      <c r="GB62" s="81"/>
      <c r="GC62" s="36"/>
      <c r="GD62" s="36"/>
      <c r="GE62" s="36"/>
      <c r="GF62" s="36"/>
      <c r="GG62" s="36"/>
      <c r="GH62" s="36"/>
      <c r="GI62" s="36"/>
      <c r="GJ62" s="36"/>
      <c r="GK62" s="36"/>
      <c r="GL62" s="36"/>
      <c r="GM62" s="36"/>
      <c r="GN62" s="36"/>
      <c r="GO62" s="81"/>
      <c r="GP62" s="81"/>
      <c r="GQ62" s="81"/>
      <c r="GR62" s="81"/>
      <c r="GS62" s="81"/>
      <c r="GT62" s="81"/>
      <c r="GU62" s="81"/>
      <c r="GV62" s="81"/>
      <c r="GW62" s="81"/>
      <c r="GX62" s="81"/>
      <c r="GY62" s="81"/>
      <c r="GZ62" s="81"/>
      <c r="HA62" s="81"/>
      <c r="HB62" s="81"/>
      <c r="HC62" s="81"/>
      <c r="HD62" s="81"/>
      <c r="HE62" s="81"/>
      <c r="HF62" s="81"/>
      <c r="HG62" s="81"/>
      <c r="HH62" s="81"/>
      <c r="HI62" s="81"/>
      <c r="HJ62" s="81"/>
      <c r="HK62" s="36"/>
      <c r="HL62" s="36"/>
      <c r="HM62" s="36"/>
      <c r="HN62" s="36"/>
      <c r="HO62" s="36"/>
      <c r="HP62" s="36"/>
      <c r="HQ62" s="36"/>
      <c r="HR62" s="36"/>
      <c r="HS62" s="36"/>
      <c r="HT62" s="36"/>
      <c r="HU62" s="32"/>
      <c r="HV62" s="32"/>
      <c r="HW62" s="36"/>
      <c r="HX62" s="36"/>
      <c r="HY62" s="36"/>
      <c r="HZ62" s="36"/>
      <c r="IA62" s="36"/>
      <c r="IB62" s="36"/>
      <c r="IC62" s="36"/>
      <c r="ID62" s="36"/>
      <c r="IE62" s="36"/>
      <c r="IF62" s="36"/>
      <c r="IG62" s="36"/>
      <c r="IH62" s="36"/>
      <c r="II62" s="36"/>
      <c r="IJ62" s="36"/>
      <c r="IK62" s="36"/>
      <c r="IL62" s="36"/>
      <c r="IM62" s="36"/>
      <c r="IN62" s="36"/>
      <c r="IO62" s="36"/>
      <c r="IP62" s="61"/>
      <c r="IQ62" s="81"/>
      <c r="IR62" s="81"/>
      <c r="IS62" s="81"/>
      <c r="IT62" s="36"/>
      <c r="IU62" s="36"/>
      <c r="IV62" s="36"/>
    </row>
    <row r="63" spans="1:256" ht="18.75">
      <c r="A63" s="9"/>
      <c r="B63" s="66"/>
      <c r="C63" s="79"/>
      <c r="D63" s="79"/>
      <c r="E63" s="79"/>
      <c r="F63" s="79"/>
      <c r="G63" s="79"/>
      <c r="H63" s="79"/>
      <c r="I63" s="79"/>
      <c r="J63" s="79"/>
      <c r="K63" s="83"/>
      <c r="L63" s="83"/>
      <c r="M63" s="83"/>
      <c r="N63" s="83"/>
      <c r="O63" s="36"/>
      <c r="P63" s="36"/>
      <c r="Q63" s="36"/>
      <c r="R63" s="36"/>
      <c r="S63" s="36"/>
      <c r="T63" s="36"/>
      <c r="U63" s="36"/>
      <c r="V63" s="36"/>
      <c r="W63" s="36"/>
      <c r="X63" s="36"/>
      <c r="Y63" s="36"/>
      <c r="Z63" s="36"/>
      <c r="AA63" s="81"/>
      <c r="AB63" s="81"/>
      <c r="AC63" s="81"/>
      <c r="AD63" s="81"/>
      <c r="AE63" s="81"/>
      <c r="AF63" s="81"/>
      <c r="AG63" s="81"/>
      <c r="AH63" s="81"/>
      <c r="AI63" s="81"/>
      <c r="AJ63" s="81"/>
      <c r="AK63" s="81"/>
      <c r="AL63" s="81"/>
      <c r="AM63" s="81"/>
      <c r="AN63" s="81"/>
      <c r="AO63" s="81"/>
      <c r="AP63" s="81"/>
      <c r="AQ63" s="81"/>
      <c r="AR63" s="81"/>
      <c r="AS63" s="81"/>
      <c r="AT63" s="81"/>
      <c r="AU63" s="81"/>
      <c r="AV63" s="81"/>
      <c r="AW63" s="36"/>
      <c r="AX63" s="36"/>
      <c r="AY63" s="36"/>
      <c r="AZ63" s="36"/>
      <c r="BA63" s="36"/>
      <c r="BB63" s="36"/>
      <c r="BC63" s="36"/>
      <c r="BD63" s="36"/>
      <c r="BE63" s="36"/>
      <c r="BF63" s="36"/>
      <c r="BG63" s="36"/>
      <c r="BH63" s="36"/>
      <c r="BI63" s="81"/>
      <c r="BJ63" s="81"/>
      <c r="BK63" s="81"/>
      <c r="BL63" s="81"/>
      <c r="BM63" s="81"/>
      <c r="BN63" s="81"/>
      <c r="BO63" s="81"/>
      <c r="BP63" s="81"/>
      <c r="BQ63" s="81"/>
      <c r="BR63" s="81"/>
      <c r="BS63" s="81"/>
      <c r="BT63" s="81"/>
      <c r="BU63" s="81"/>
      <c r="BV63" s="81"/>
      <c r="BW63" s="81"/>
      <c r="BX63" s="81"/>
      <c r="BY63" s="81"/>
      <c r="BZ63" s="81"/>
      <c r="CA63" s="81"/>
      <c r="CB63" s="81"/>
      <c r="CC63" s="81"/>
      <c r="CD63" s="81"/>
      <c r="CE63" s="36"/>
      <c r="CF63" s="36"/>
      <c r="CG63" s="36"/>
      <c r="CH63" s="36"/>
      <c r="CI63" s="36"/>
      <c r="CJ63" s="36"/>
      <c r="CK63" s="36"/>
      <c r="CL63" s="36"/>
      <c r="CM63" s="36"/>
      <c r="CN63" s="36"/>
      <c r="CO63" s="36"/>
      <c r="CP63" s="36"/>
      <c r="CQ63" s="81"/>
      <c r="CR63" s="81"/>
      <c r="CS63" s="81"/>
      <c r="CT63" s="81"/>
      <c r="CU63" s="81"/>
      <c r="CV63" s="81"/>
      <c r="CW63" s="81"/>
      <c r="CX63" s="81"/>
      <c r="CY63" s="81"/>
      <c r="CZ63" s="81"/>
      <c r="DA63" s="81"/>
      <c r="DB63" s="81"/>
      <c r="DC63" s="81"/>
      <c r="DD63" s="81"/>
      <c r="DE63" s="81"/>
      <c r="DF63" s="81"/>
      <c r="DG63" s="81"/>
      <c r="DH63" s="9"/>
      <c r="DI63" s="9"/>
      <c r="DJ63" s="9"/>
      <c r="DK63" s="9"/>
      <c r="DL63" s="9"/>
      <c r="DM63" s="9"/>
      <c r="DN63" s="36"/>
      <c r="DO63" s="36"/>
      <c r="DP63" s="36"/>
      <c r="DQ63" s="36"/>
      <c r="DR63" s="36"/>
      <c r="DS63" s="36"/>
      <c r="DT63" s="36"/>
      <c r="DU63" s="36"/>
      <c r="DV63" s="36"/>
      <c r="DW63" s="36"/>
      <c r="DX63" s="36"/>
      <c r="DY63" s="81"/>
      <c r="DZ63" s="81"/>
      <c r="EA63" s="81"/>
      <c r="EB63" s="81"/>
      <c r="EC63" s="81"/>
      <c r="ED63" s="81"/>
      <c r="EE63" s="81"/>
      <c r="EF63" s="81"/>
      <c r="EG63" s="81"/>
      <c r="EH63" s="81"/>
      <c r="EI63" s="81"/>
      <c r="EJ63" s="81"/>
      <c r="EK63" s="81"/>
      <c r="EL63" s="81"/>
      <c r="EM63" s="81"/>
      <c r="EN63" s="81"/>
      <c r="EO63" s="81"/>
      <c r="EP63" s="81"/>
      <c r="EQ63" s="81"/>
      <c r="ER63" s="81"/>
      <c r="ES63" s="81"/>
      <c r="ET63" s="81"/>
      <c r="EU63" s="36"/>
      <c r="EV63" s="36"/>
      <c r="EW63" s="36"/>
      <c r="EX63" s="36"/>
      <c r="EY63" s="36"/>
      <c r="EZ63" s="36"/>
      <c r="FA63" s="36"/>
      <c r="FB63" s="36"/>
      <c r="FC63" s="36"/>
      <c r="FD63" s="36"/>
      <c r="FE63" s="36"/>
      <c r="FF63" s="36"/>
      <c r="FG63" s="81"/>
      <c r="FH63" s="81"/>
      <c r="FI63" s="81"/>
      <c r="FJ63" s="81"/>
      <c r="FK63" s="81"/>
      <c r="FL63" s="81"/>
      <c r="FM63" s="81"/>
      <c r="FN63" s="81"/>
      <c r="FO63" s="81"/>
      <c r="FP63" s="81"/>
      <c r="FQ63" s="81"/>
      <c r="FR63" s="81"/>
      <c r="FS63" s="81"/>
      <c r="FT63" s="81"/>
      <c r="FU63" s="81"/>
      <c r="FV63" s="81"/>
      <c r="FW63" s="81"/>
      <c r="FX63" s="81"/>
      <c r="FY63" s="81"/>
      <c r="FZ63" s="81"/>
      <c r="GA63" s="81"/>
      <c r="GB63" s="81"/>
      <c r="GC63" s="36"/>
      <c r="GD63" s="36"/>
      <c r="GE63" s="36"/>
      <c r="GF63" s="36"/>
      <c r="GG63" s="36"/>
      <c r="GH63" s="36"/>
      <c r="GI63" s="36"/>
      <c r="GJ63" s="36"/>
      <c r="GK63" s="36"/>
      <c r="GL63" s="36"/>
      <c r="GM63" s="36"/>
      <c r="GN63" s="36"/>
      <c r="GO63" s="81"/>
      <c r="GP63" s="81"/>
      <c r="GQ63" s="81"/>
      <c r="GR63" s="81"/>
      <c r="GS63" s="81"/>
      <c r="GT63" s="81"/>
      <c r="GU63" s="81"/>
      <c r="GV63" s="81"/>
      <c r="GW63" s="81"/>
      <c r="GX63" s="81"/>
      <c r="GY63" s="81"/>
      <c r="GZ63" s="81"/>
      <c r="HA63" s="81"/>
      <c r="HB63" s="81"/>
      <c r="HC63" s="81"/>
      <c r="HD63" s="81"/>
      <c r="HE63" s="81"/>
      <c r="HF63" s="81"/>
      <c r="HG63" s="81"/>
      <c r="HH63" s="81"/>
      <c r="HI63" s="81"/>
      <c r="HJ63" s="81"/>
      <c r="HK63" s="36"/>
      <c r="HL63" s="36"/>
      <c r="HM63" s="36"/>
      <c r="HN63" s="36"/>
      <c r="HO63" s="36"/>
      <c r="HP63" s="36"/>
      <c r="HQ63" s="36"/>
      <c r="HR63" s="36"/>
      <c r="HS63" s="36"/>
      <c r="HT63" s="36"/>
      <c r="HU63" s="32"/>
      <c r="HV63" s="32"/>
      <c r="HW63" s="36"/>
      <c r="HX63" s="36"/>
      <c r="HY63" s="36"/>
      <c r="HZ63" s="36"/>
      <c r="IA63" s="36"/>
      <c r="IB63" s="36"/>
      <c r="IC63" s="36"/>
      <c r="ID63" s="36"/>
      <c r="IE63" s="36"/>
      <c r="IF63" s="36"/>
      <c r="IG63" s="36"/>
      <c r="IH63" s="36"/>
      <c r="II63" s="36"/>
      <c r="IJ63" s="36"/>
      <c r="IK63" s="36"/>
      <c r="IL63" s="36"/>
      <c r="IM63" s="36"/>
      <c r="IN63" s="36"/>
      <c r="IO63" s="36"/>
      <c r="IP63" s="61"/>
      <c r="IQ63" s="81"/>
      <c r="IR63" s="81"/>
      <c r="IS63" s="81"/>
      <c r="IT63" s="36"/>
      <c r="IU63" s="36"/>
      <c r="IV63" s="36"/>
    </row>
    <row r="64" spans="1:256" ht="18.75">
      <c r="A64" s="9"/>
      <c r="B64" s="66"/>
      <c r="C64" s="79"/>
      <c r="D64" s="79"/>
      <c r="E64" s="79"/>
      <c r="F64" s="79"/>
      <c r="G64" s="79"/>
      <c r="H64" s="79"/>
      <c r="I64" s="79"/>
      <c r="J64" s="79"/>
      <c r="K64" s="83"/>
      <c r="L64" s="83"/>
      <c r="M64" s="83"/>
      <c r="N64" s="83"/>
      <c r="O64" s="36"/>
      <c r="P64" s="36"/>
      <c r="Q64" s="36"/>
      <c r="R64" s="36"/>
      <c r="S64" s="36"/>
      <c r="T64" s="36"/>
      <c r="U64" s="36"/>
      <c r="V64" s="36"/>
      <c r="W64" s="36"/>
      <c r="X64" s="36"/>
      <c r="Y64" s="36"/>
      <c r="Z64" s="36"/>
      <c r="AA64" s="81"/>
      <c r="AB64" s="81"/>
      <c r="AC64" s="81"/>
      <c r="AD64" s="81"/>
      <c r="AE64" s="81"/>
      <c r="AF64" s="81"/>
      <c r="AG64" s="81"/>
      <c r="AH64" s="81"/>
      <c r="AI64" s="81"/>
      <c r="AJ64" s="81"/>
      <c r="AK64" s="81"/>
      <c r="AL64" s="81"/>
      <c r="AM64" s="81"/>
      <c r="AN64" s="81"/>
      <c r="AO64" s="81"/>
      <c r="AP64" s="81"/>
      <c r="AQ64" s="81"/>
      <c r="AR64" s="81"/>
      <c r="AS64" s="81"/>
      <c r="AT64" s="81"/>
      <c r="AU64" s="81"/>
      <c r="AV64" s="81"/>
      <c r="AW64" s="36"/>
      <c r="AX64" s="36"/>
      <c r="AY64" s="36"/>
      <c r="AZ64" s="36"/>
      <c r="BA64" s="36"/>
      <c r="BB64" s="36"/>
      <c r="BC64" s="36"/>
      <c r="BD64" s="36"/>
      <c r="BE64" s="36"/>
      <c r="BF64" s="36"/>
      <c r="BG64" s="36"/>
      <c r="BH64" s="36"/>
      <c r="BI64" s="81"/>
      <c r="BJ64" s="81"/>
      <c r="BK64" s="81"/>
      <c r="BL64" s="81"/>
      <c r="BM64" s="81"/>
      <c r="BN64" s="81"/>
      <c r="BO64" s="81"/>
      <c r="BP64" s="81"/>
      <c r="BQ64" s="81"/>
      <c r="BR64" s="81"/>
      <c r="BS64" s="81"/>
      <c r="BT64" s="81"/>
      <c r="BU64" s="81"/>
      <c r="BV64" s="81"/>
      <c r="BW64" s="81"/>
      <c r="BX64" s="81"/>
      <c r="BY64" s="81"/>
      <c r="BZ64" s="81"/>
      <c r="CA64" s="81"/>
      <c r="CB64" s="81"/>
      <c r="CC64" s="81"/>
      <c r="CD64" s="81"/>
      <c r="CE64" s="36"/>
      <c r="CF64" s="36"/>
      <c r="CG64" s="36"/>
      <c r="CH64" s="36"/>
      <c r="CI64" s="36"/>
      <c r="CJ64" s="36"/>
      <c r="CK64" s="36"/>
      <c r="CL64" s="36"/>
      <c r="CM64" s="36"/>
      <c r="CN64" s="36"/>
      <c r="CO64" s="36"/>
      <c r="CP64" s="36"/>
      <c r="CQ64" s="81"/>
      <c r="CR64" s="81"/>
      <c r="CS64" s="81"/>
      <c r="CT64" s="81"/>
      <c r="CU64" s="81"/>
      <c r="CV64" s="81"/>
      <c r="CW64" s="81"/>
      <c r="CX64" s="81"/>
      <c r="CY64" s="81"/>
      <c r="CZ64" s="81"/>
      <c r="DA64" s="81"/>
      <c r="DB64" s="81"/>
      <c r="DC64" s="81"/>
      <c r="DD64" s="81"/>
      <c r="DE64" s="81"/>
      <c r="DF64" s="81"/>
      <c r="DG64" s="81"/>
      <c r="DH64" s="9"/>
      <c r="DI64" s="9"/>
      <c r="DJ64" s="9"/>
      <c r="DK64" s="9"/>
      <c r="DL64" s="9"/>
      <c r="DM64" s="9"/>
      <c r="DN64" s="36"/>
      <c r="DO64" s="36"/>
      <c r="DP64" s="36"/>
      <c r="DQ64" s="36"/>
      <c r="DR64" s="36"/>
      <c r="DS64" s="36"/>
      <c r="DT64" s="36"/>
      <c r="DU64" s="36"/>
      <c r="DV64" s="36"/>
      <c r="DW64" s="36"/>
      <c r="DX64" s="36"/>
      <c r="DY64" s="81"/>
      <c r="DZ64" s="81"/>
      <c r="EA64" s="81"/>
      <c r="EB64" s="81"/>
      <c r="EC64" s="81"/>
      <c r="ED64" s="81"/>
      <c r="EE64" s="81"/>
      <c r="EF64" s="81"/>
      <c r="EG64" s="81"/>
      <c r="EH64" s="81"/>
      <c r="EI64" s="81"/>
      <c r="EJ64" s="81"/>
      <c r="EK64" s="81"/>
      <c r="EL64" s="81"/>
      <c r="EM64" s="81"/>
      <c r="EN64" s="81"/>
      <c r="EO64" s="81"/>
      <c r="EP64" s="81"/>
      <c r="EQ64" s="81"/>
      <c r="ER64" s="81"/>
      <c r="ES64" s="81"/>
      <c r="ET64" s="81"/>
      <c r="EU64" s="36"/>
      <c r="EV64" s="36"/>
      <c r="EW64" s="36"/>
      <c r="EX64" s="36"/>
      <c r="EY64" s="36"/>
      <c r="EZ64" s="36"/>
      <c r="FA64" s="36"/>
      <c r="FB64" s="36"/>
      <c r="FC64" s="36"/>
      <c r="FD64" s="36"/>
      <c r="FE64" s="36"/>
      <c r="FF64" s="36"/>
      <c r="FG64" s="81"/>
      <c r="FH64" s="81"/>
      <c r="FI64" s="81"/>
      <c r="FJ64" s="81"/>
      <c r="FK64" s="81"/>
      <c r="FL64" s="81"/>
      <c r="FM64" s="81"/>
      <c r="FN64" s="81"/>
      <c r="FO64" s="81"/>
      <c r="FP64" s="81"/>
      <c r="FQ64" s="81"/>
      <c r="FR64" s="81"/>
      <c r="FS64" s="81"/>
      <c r="FT64" s="81"/>
      <c r="FU64" s="81"/>
      <c r="FV64" s="81"/>
      <c r="FW64" s="81"/>
      <c r="FX64" s="81"/>
      <c r="FY64" s="81"/>
      <c r="FZ64" s="81"/>
      <c r="GA64" s="81"/>
      <c r="GB64" s="81"/>
      <c r="GC64" s="36"/>
      <c r="GD64" s="36"/>
      <c r="GE64" s="36"/>
      <c r="GF64" s="36"/>
      <c r="GG64" s="36"/>
      <c r="GH64" s="36"/>
      <c r="GI64" s="36"/>
      <c r="GJ64" s="36"/>
      <c r="GK64" s="36"/>
      <c r="GL64" s="36"/>
      <c r="GM64" s="36"/>
      <c r="GN64" s="36"/>
      <c r="GO64" s="81"/>
      <c r="GP64" s="81"/>
      <c r="GQ64" s="81"/>
      <c r="GR64" s="81"/>
      <c r="GS64" s="81"/>
      <c r="GT64" s="81"/>
      <c r="GU64" s="81"/>
      <c r="GV64" s="81"/>
      <c r="GW64" s="81"/>
      <c r="GX64" s="81"/>
      <c r="GY64" s="81"/>
      <c r="GZ64" s="81"/>
      <c r="HA64" s="81"/>
      <c r="HB64" s="81"/>
      <c r="HC64" s="81"/>
      <c r="HD64" s="81"/>
      <c r="HE64" s="81"/>
      <c r="HF64" s="81"/>
      <c r="HG64" s="81"/>
      <c r="HH64" s="81"/>
      <c r="HI64" s="81"/>
      <c r="HJ64" s="81"/>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61"/>
      <c r="IQ64" s="81"/>
      <c r="IR64" s="81"/>
      <c r="IS64" s="81"/>
      <c r="IT64" s="36"/>
      <c r="IU64" s="36"/>
      <c r="IV64" s="36"/>
    </row>
    <row r="65" spans="1:256" ht="18">
      <c r="A65" s="54" t="s">
        <v>41</v>
      </c>
      <c r="B65" s="68"/>
      <c r="C65" s="9"/>
      <c r="D65" s="9"/>
      <c r="E65" s="9"/>
      <c r="F65" s="9"/>
      <c r="G65" s="9"/>
      <c r="H65" s="9"/>
      <c r="I65" s="9"/>
      <c r="J65" s="9"/>
      <c r="K65" s="9"/>
      <c r="L65" s="9"/>
      <c r="M65" s="9"/>
      <c r="N65" s="9"/>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W65" s="36"/>
      <c r="HX65" s="36"/>
      <c r="HY65" s="36"/>
      <c r="HZ65" s="36"/>
      <c r="IA65" s="36"/>
      <c r="IB65" s="36"/>
      <c r="IC65" s="36"/>
      <c r="ID65" s="36"/>
      <c r="IE65" s="36"/>
      <c r="IF65" s="36"/>
      <c r="IG65" s="36"/>
      <c r="IH65" s="36"/>
      <c r="II65" s="36"/>
      <c r="IJ65" s="36"/>
      <c r="IK65" s="36"/>
      <c r="IL65" s="36"/>
      <c r="IM65" s="36"/>
      <c r="IN65" s="36"/>
      <c r="IO65" s="36"/>
      <c r="IQ65" s="9"/>
      <c r="IR65" s="9"/>
      <c r="IS65" s="9"/>
      <c r="IT65" s="36"/>
      <c r="IU65" s="36"/>
      <c r="IV65" s="36"/>
    </row>
    <row r="66" spans="1:256" ht="18.75">
      <c r="A66" s="54" t="s">
        <v>64</v>
      </c>
      <c r="B66" s="68"/>
      <c r="C66" s="9"/>
      <c r="D66" s="9"/>
      <c r="E66" s="9"/>
      <c r="F66" s="9"/>
      <c r="G66" s="9"/>
      <c r="H66" s="9"/>
      <c r="I66" s="9"/>
      <c r="J66" s="9"/>
      <c r="K66" s="9"/>
      <c r="L66" s="9"/>
      <c r="M66" s="9"/>
      <c r="N66" s="9"/>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2"/>
      <c r="HW66" s="36"/>
      <c r="HX66" s="36"/>
      <c r="HY66" s="36"/>
      <c r="HZ66" s="36"/>
      <c r="IA66" s="36"/>
      <c r="IB66" s="36"/>
      <c r="IC66" s="36"/>
      <c r="ID66" s="36"/>
      <c r="IE66" s="36"/>
      <c r="IF66" s="36"/>
      <c r="IG66" s="36"/>
      <c r="IH66" s="36"/>
      <c r="II66" s="36"/>
      <c r="IJ66" s="36"/>
      <c r="IK66" s="36"/>
      <c r="IL66" s="36"/>
      <c r="IM66" s="36"/>
      <c r="IN66" s="36"/>
      <c r="IO66" s="36"/>
      <c r="IP66" s="61"/>
      <c r="IQ66" s="9"/>
      <c r="IR66" s="9"/>
      <c r="IS66" s="9"/>
      <c r="IT66" s="36"/>
      <c r="IU66" s="36"/>
      <c r="IV66" s="36"/>
    </row>
    <row r="67" spans="1:256" ht="18.75">
      <c r="A67" s="54" t="s">
        <v>76</v>
      </c>
      <c r="B67" s="68"/>
      <c r="C67" s="9"/>
      <c r="D67" s="9"/>
      <c r="E67" s="9"/>
      <c r="F67" s="9"/>
      <c r="G67" s="9"/>
      <c r="H67" s="9"/>
      <c r="I67" s="9"/>
      <c r="J67" s="9"/>
      <c r="K67" s="9"/>
      <c r="L67" s="9"/>
      <c r="M67" s="9"/>
      <c r="N67" s="9"/>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2"/>
      <c r="HW67" s="36"/>
      <c r="HX67" s="36"/>
      <c r="HY67" s="36"/>
      <c r="HZ67" s="36"/>
      <c r="IA67" s="36"/>
      <c r="IB67" s="36"/>
      <c r="IC67" s="36"/>
      <c r="ID67" s="36"/>
      <c r="IE67" s="36"/>
      <c r="IF67" s="36"/>
      <c r="IG67" s="36"/>
      <c r="IH67" s="36"/>
      <c r="II67" s="36"/>
      <c r="IJ67" s="36"/>
      <c r="IK67" s="36"/>
      <c r="IL67" s="36"/>
      <c r="IM67" s="36"/>
      <c r="IN67" s="36"/>
      <c r="IO67" s="36"/>
      <c r="IP67" s="61"/>
      <c r="IQ67" s="9"/>
      <c r="IR67" s="9"/>
      <c r="IS67" s="9"/>
      <c r="IT67" s="36"/>
      <c r="IU67" s="36"/>
      <c r="IV67" s="36"/>
    </row>
    <row r="68" spans="1:256" ht="18.75">
      <c r="A68" s="54"/>
      <c r="B68" s="68"/>
      <c r="C68" s="9"/>
      <c r="D68" s="9"/>
      <c r="E68" s="9"/>
      <c r="F68" s="9"/>
      <c r="G68" s="9"/>
      <c r="H68" s="9"/>
      <c r="I68" s="9"/>
      <c r="J68" s="9"/>
      <c r="K68" s="9"/>
      <c r="L68" s="9"/>
      <c r="M68" s="9"/>
      <c r="N68" s="9"/>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2"/>
      <c r="HW68" s="36"/>
      <c r="HX68" s="36"/>
      <c r="HY68" s="36"/>
      <c r="HZ68" s="36"/>
      <c r="IA68" s="36"/>
      <c r="IB68" s="36"/>
      <c r="IC68" s="36"/>
      <c r="ID68" s="36"/>
      <c r="IE68" s="36"/>
      <c r="IF68" s="36"/>
      <c r="IG68" s="36"/>
      <c r="IH68" s="36"/>
      <c r="II68" s="36"/>
      <c r="IJ68" s="36"/>
      <c r="IK68" s="36"/>
      <c r="IL68" s="36"/>
      <c r="IM68" s="36"/>
      <c r="IN68" s="36"/>
      <c r="IO68" s="36"/>
      <c r="IP68" s="61"/>
      <c r="IQ68" s="9"/>
      <c r="IR68" s="9"/>
      <c r="IS68" s="9"/>
      <c r="IT68" s="36"/>
      <c r="IU68" s="36"/>
      <c r="IV68" s="36"/>
    </row>
    <row r="69" spans="1:256" ht="15">
      <c r="A69" s="9"/>
      <c r="B69" s="68"/>
      <c r="C69" s="9"/>
      <c r="D69" s="9"/>
      <c r="E69" s="9"/>
      <c r="F69" s="9"/>
      <c r="G69" s="9"/>
      <c r="H69" s="9"/>
      <c r="I69" s="9"/>
      <c r="J69" s="9"/>
      <c r="K69" s="9"/>
      <c r="L69" s="9"/>
      <c r="M69" s="9"/>
      <c r="N69" s="9"/>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c r="IV69" s="36"/>
    </row>
    <row r="71" spans="1:221"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row>
    <row r="72" spans="1:221"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row>
  </sheetData>
  <printOptions/>
  <pageMargins left="0.5" right="0.5" top="0.75" bottom="0.75" header="0.5" footer="0.5"/>
  <pageSetup fitToWidth="10" horizontalDpi="600" verticalDpi="600" orientation="landscape" scale="40" r:id="rId3"/>
  <headerFooter alignWithMargins="0">
    <oddHeader>&amp;C&amp;16Matrix 1a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workbookViewId="0" topLeftCell="A1">
      <selection activeCell="E15" sqref="E15"/>
    </sheetView>
  </sheetViews>
  <sheetFormatPr defaultColWidth="8.88671875" defaultRowHeight="15"/>
  <cols>
    <col min="1" max="1" width="7.21484375" style="0" customWidth="1"/>
    <col min="2" max="2" width="10.5546875" style="0" customWidth="1"/>
    <col min="3" max="3" width="16.4453125" style="0" customWidth="1"/>
    <col min="4" max="7" width="11.21484375" style="0" customWidth="1"/>
    <col min="8" max="9" width="13.4453125" style="0" customWidth="1"/>
    <col min="10" max="11" width="11.10546875" style="0" customWidth="1"/>
    <col min="12" max="13" width="10.6640625" style="0" customWidth="1"/>
    <col min="14" max="14" width="11.77734375" style="0" customWidth="1"/>
    <col min="15" max="15" width="11.88671875" style="0" customWidth="1"/>
  </cols>
  <sheetData>
    <row r="1" spans="1:3" ht="20.25">
      <c r="A1" s="8" t="s">
        <v>97</v>
      </c>
      <c r="B1" s="39"/>
      <c r="C1" s="39"/>
    </row>
    <row r="2" ht="15">
      <c r="B2" s="97">
        <v>37939</v>
      </c>
    </row>
    <row r="3" ht="15">
      <c r="B3" s="97"/>
    </row>
    <row r="4" spans="1:2" ht="15">
      <c r="A4" t="s">
        <v>157</v>
      </c>
      <c r="B4" s="97"/>
    </row>
    <row r="5" spans="1:2" ht="15">
      <c r="A5" t="s">
        <v>158</v>
      </c>
      <c r="B5" s="97"/>
    </row>
    <row r="6" spans="1:5" ht="15.75">
      <c r="A6" s="1"/>
      <c r="E6" s="97"/>
    </row>
    <row r="7" ht="18">
      <c r="A7" s="7" t="s">
        <v>155</v>
      </c>
    </row>
    <row r="8" spans="4:5" ht="15">
      <c r="D8" s="100" t="s">
        <v>67</v>
      </c>
      <c r="E8" s="100"/>
    </row>
    <row r="9" spans="4:9" ht="15">
      <c r="D9" s="100" t="s">
        <v>17</v>
      </c>
      <c r="E9" s="100"/>
      <c r="F9" t="s">
        <v>166</v>
      </c>
      <c r="I9">
        <v>0.05</v>
      </c>
    </row>
    <row r="10" spans="4:5" ht="15">
      <c r="D10" s="98">
        <v>78760</v>
      </c>
      <c r="E10" s="98">
        <v>2346240</v>
      </c>
    </row>
    <row r="11" spans="1:15" ht="15.75">
      <c r="A11" s="16"/>
      <c r="J11" s="1" t="s">
        <v>160</v>
      </c>
      <c r="K11" s="238"/>
      <c r="L11" s="235" t="s">
        <v>165</v>
      </c>
      <c r="M11" s="236"/>
      <c r="N11" s="236"/>
      <c r="O11" s="237"/>
    </row>
    <row r="12" spans="1:15" ht="15">
      <c r="A12" s="104"/>
      <c r="B12" s="3" t="s">
        <v>95</v>
      </c>
      <c r="C12" s="27" t="s">
        <v>6</v>
      </c>
      <c r="D12" s="100" t="s">
        <v>195</v>
      </c>
      <c r="E12" s="18"/>
      <c r="F12" s="100" t="s">
        <v>200</v>
      </c>
      <c r="G12" s="18"/>
      <c r="H12" s="13"/>
      <c r="I12" s="104"/>
      <c r="J12" s="99" t="s">
        <v>159</v>
      </c>
      <c r="K12" s="18"/>
      <c r="L12" s="213"/>
      <c r="M12" s="213"/>
      <c r="N12" s="213"/>
      <c r="O12" s="214"/>
    </row>
    <row r="13" spans="1:15" ht="18">
      <c r="A13" s="18" t="s">
        <v>5</v>
      </c>
      <c r="B13" s="3" t="s">
        <v>96</v>
      </c>
      <c r="C13" s="27" t="s">
        <v>108</v>
      </c>
      <c r="D13" s="101" t="s">
        <v>3</v>
      </c>
      <c r="E13" s="102" t="s">
        <v>102</v>
      </c>
      <c r="F13" s="100" t="s">
        <v>104</v>
      </c>
      <c r="G13" s="18"/>
      <c r="H13" s="99" t="s">
        <v>107</v>
      </c>
      <c r="I13" s="105"/>
      <c r="J13" s="28" t="s">
        <v>9</v>
      </c>
      <c r="K13" s="18" t="s">
        <v>10</v>
      </c>
      <c r="L13" s="212" t="s">
        <v>113</v>
      </c>
      <c r="M13" s="214"/>
      <c r="N13" s="213" t="s">
        <v>162</v>
      </c>
      <c r="O13" s="214"/>
    </row>
    <row r="14" spans="1:15" ht="15.75" thickBot="1">
      <c r="A14" s="225"/>
      <c r="B14" s="20" t="s">
        <v>11</v>
      </c>
      <c r="C14" s="95" t="s">
        <v>109</v>
      </c>
      <c r="D14" s="29" t="s">
        <v>12</v>
      </c>
      <c r="E14" s="20" t="s">
        <v>13</v>
      </c>
      <c r="F14" s="19" t="s">
        <v>12</v>
      </c>
      <c r="G14" s="20" t="s">
        <v>13</v>
      </c>
      <c r="H14" s="106" t="s">
        <v>12</v>
      </c>
      <c r="I14" s="107" t="s">
        <v>13</v>
      </c>
      <c r="J14" s="19" t="s">
        <v>12</v>
      </c>
      <c r="K14" s="20" t="s">
        <v>13</v>
      </c>
      <c r="L14" s="215" t="s">
        <v>12</v>
      </c>
      <c r="M14" s="216" t="s">
        <v>13</v>
      </c>
      <c r="N14" s="217" t="s">
        <v>12</v>
      </c>
      <c r="O14" s="216" t="s">
        <v>13</v>
      </c>
    </row>
    <row r="15" spans="1:15" ht="15.75" thickTop="1">
      <c r="A15" s="104">
        <v>2008</v>
      </c>
      <c r="B15" s="17">
        <v>0</v>
      </c>
      <c r="C15" s="78">
        <f>'Matrix 1'!$GS$25</f>
        <v>5509003.239169462</v>
      </c>
      <c r="D15" s="11">
        <f>$D$10*((1+0.05)^6)</f>
        <v>105545.932655625</v>
      </c>
      <c r="E15" s="22">
        <f>$E$10*((1+0.05)^6)</f>
        <v>3144185.99586</v>
      </c>
      <c r="F15" s="11">
        <f aca="true" t="shared" si="0" ref="F15:F27">SUM(C15+D15)</f>
        <v>5614549.171825087</v>
      </c>
      <c r="G15" s="22">
        <f aca="true" t="shared" si="1" ref="G15:G27">SUM(C15+E15)</f>
        <v>8653189.235029463</v>
      </c>
      <c r="H15" s="81"/>
      <c r="I15" s="47"/>
      <c r="J15" s="108" t="s">
        <v>163</v>
      </c>
      <c r="K15" s="23"/>
      <c r="L15" s="218">
        <v>198200</v>
      </c>
      <c r="M15" s="219">
        <v>5145153</v>
      </c>
      <c r="N15" s="218">
        <f>H15+L15</f>
        <v>198200</v>
      </c>
      <c r="O15" s="219">
        <f>I15+M15</f>
        <v>5145153</v>
      </c>
    </row>
    <row r="16" spans="1:15" ht="15">
      <c r="A16" s="104">
        <v>2009</v>
      </c>
      <c r="B16" s="17">
        <v>213.89</v>
      </c>
      <c r="C16" s="78">
        <f>'Matrix 1'!GS26</f>
        <v>5944028.649505465</v>
      </c>
      <c r="D16" s="11"/>
      <c r="E16" s="22"/>
      <c r="F16" s="11">
        <f t="shared" si="0"/>
        <v>5944028.649505465</v>
      </c>
      <c r="G16" s="22">
        <f t="shared" si="1"/>
        <v>5944028.649505465</v>
      </c>
      <c r="H16" s="81">
        <f aca="true" t="shared" si="2" ref="H16:H27">($F$15*((1+$I$9)^1))*(($I$9*(1+$I$9)^12)/(((1+$I$9)^12)-1))+F16</f>
        <v>6609165.65251832</v>
      </c>
      <c r="I16" s="47">
        <f aca="true" t="shared" si="3" ref="I16:I27">($G$15*((1+$I$9)^1))*(($I$9*(1+$I$9)^12)/(((1+$I$9)^12)-1))+G16</f>
        <v>6969143.254106866</v>
      </c>
      <c r="J16" s="14">
        <f>H16/(B16*2000)</f>
        <v>15.449917369952592</v>
      </c>
      <c r="K16" s="24">
        <f>I16/(B16*2000)</f>
        <v>16.2914190801507</v>
      </c>
      <c r="L16" s="218">
        <v>198200</v>
      </c>
      <c r="M16" s="219">
        <v>5145153</v>
      </c>
      <c r="N16" s="218">
        <f aca="true" t="shared" si="4" ref="N16:N27">H16+L16</f>
        <v>6807365.65251832</v>
      </c>
      <c r="O16" s="219">
        <f aca="true" t="shared" si="5" ref="O16:O27">I16+M16</f>
        <v>12114296.254106866</v>
      </c>
    </row>
    <row r="17" spans="1:15" ht="15">
      <c r="A17" s="104">
        <v>2010</v>
      </c>
      <c r="B17" s="17">
        <v>219</v>
      </c>
      <c r="C17" s="78">
        <f>'Matrix 1'!GS27</f>
        <v>6222224.611676683</v>
      </c>
      <c r="D17" s="11"/>
      <c r="E17" s="22"/>
      <c r="F17" s="11">
        <f t="shared" si="0"/>
        <v>6222224.611676683</v>
      </c>
      <c r="G17" s="22">
        <f t="shared" si="1"/>
        <v>6222224.611676683</v>
      </c>
      <c r="H17" s="81">
        <f t="shared" si="2"/>
        <v>6887361.614689537</v>
      </c>
      <c r="I17" s="47">
        <f t="shared" si="3"/>
        <v>7247339.216278084</v>
      </c>
      <c r="J17" s="14">
        <f aca="true" t="shared" si="6" ref="J17:J27">H17/(B17*2000)</f>
        <v>15.724569896551454</v>
      </c>
      <c r="K17" s="24">
        <f aca="true" t="shared" si="7" ref="K17:K27">I17/(B17*2000)</f>
        <v>16.54643656684494</v>
      </c>
      <c r="L17" s="218">
        <v>198200</v>
      </c>
      <c r="M17" s="219">
        <v>5145153</v>
      </c>
      <c r="N17" s="218">
        <f t="shared" si="4"/>
        <v>7085561.614689537</v>
      </c>
      <c r="O17" s="219">
        <f t="shared" si="5"/>
        <v>12392492.216278084</v>
      </c>
    </row>
    <row r="18" spans="1:15" ht="15">
      <c r="A18" s="104">
        <v>2011</v>
      </c>
      <c r="B18" s="17">
        <v>253.675</v>
      </c>
      <c r="C18" s="78">
        <f>'Matrix 1'!GS28</f>
        <v>6489438.708913046</v>
      </c>
      <c r="D18" s="11"/>
      <c r="E18" s="22"/>
      <c r="F18" s="11">
        <f t="shared" si="0"/>
        <v>6489438.708913046</v>
      </c>
      <c r="G18" s="22">
        <f t="shared" si="1"/>
        <v>6489438.708913046</v>
      </c>
      <c r="H18" s="81">
        <f t="shared" si="2"/>
        <v>7154575.711925901</v>
      </c>
      <c r="I18" s="47">
        <f t="shared" si="3"/>
        <v>7514553.313514447</v>
      </c>
      <c r="J18" s="14">
        <f t="shared" si="6"/>
        <v>14.101854167588254</v>
      </c>
      <c r="K18" s="24">
        <f t="shared" si="7"/>
        <v>14.811379350575434</v>
      </c>
      <c r="L18" s="218">
        <v>198200</v>
      </c>
      <c r="M18" s="219">
        <v>5145153</v>
      </c>
      <c r="N18" s="218">
        <f t="shared" si="4"/>
        <v>7352775.711925901</v>
      </c>
      <c r="O18" s="219">
        <f t="shared" si="5"/>
        <v>12659706.313514447</v>
      </c>
    </row>
    <row r="19" spans="1:15" ht="15">
      <c r="A19" s="104">
        <v>2012</v>
      </c>
      <c r="B19" s="17">
        <v>269.735</v>
      </c>
      <c r="C19" s="78">
        <f>'Matrix 1'!GS29</f>
        <v>6746533.995720213</v>
      </c>
      <c r="D19" s="11"/>
      <c r="E19" s="22"/>
      <c r="F19" s="11">
        <f t="shared" si="0"/>
        <v>6746533.995720213</v>
      </c>
      <c r="G19" s="22">
        <f t="shared" si="1"/>
        <v>6746533.995720213</v>
      </c>
      <c r="H19" s="81">
        <f t="shared" si="2"/>
        <v>7411670.998733068</v>
      </c>
      <c r="I19" s="47">
        <f t="shared" si="3"/>
        <v>7771648.600321614</v>
      </c>
      <c r="J19" s="14">
        <f t="shared" si="6"/>
        <v>13.738801043122079</v>
      </c>
      <c r="K19" s="24">
        <f t="shared" si="7"/>
        <v>14.40608115432112</v>
      </c>
      <c r="L19" s="218">
        <v>198200</v>
      </c>
      <c r="M19" s="219">
        <v>5145153</v>
      </c>
      <c r="N19" s="218">
        <f t="shared" si="4"/>
        <v>7609870.998733068</v>
      </c>
      <c r="O19" s="219">
        <f t="shared" si="5"/>
        <v>12916801.600321613</v>
      </c>
    </row>
    <row r="20" spans="1:15" ht="15">
      <c r="A20" s="104">
        <v>2013</v>
      </c>
      <c r="B20" s="17">
        <v>279.225</v>
      </c>
      <c r="C20" s="78">
        <f>'Matrix 1'!GS30</f>
        <v>6993685.386608833</v>
      </c>
      <c r="D20" s="11"/>
      <c r="E20" s="22"/>
      <c r="F20" s="11">
        <f t="shared" si="0"/>
        <v>6993685.386608833</v>
      </c>
      <c r="G20" s="22">
        <f t="shared" si="1"/>
        <v>6993685.386608833</v>
      </c>
      <c r="H20" s="81">
        <f t="shared" si="2"/>
        <v>7658822.389621688</v>
      </c>
      <c r="I20" s="47">
        <f t="shared" si="3"/>
        <v>8018799.991210234</v>
      </c>
      <c r="J20" s="14">
        <f t="shared" si="6"/>
        <v>13.71442813075779</v>
      </c>
      <c r="K20" s="24">
        <f t="shared" si="7"/>
        <v>14.359029440791897</v>
      </c>
      <c r="L20" s="218">
        <v>198200</v>
      </c>
      <c r="M20" s="219">
        <v>5145153</v>
      </c>
      <c r="N20" s="218">
        <f t="shared" si="4"/>
        <v>7857022.389621688</v>
      </c>
      <c r="O20" s="219">
        <f t="shared" si="5"/>
        <v>13163952.991210233</v>
      </c>
    </row>
    <row r="21" spans="1:15" ht="15">
      <c r="A21" s="104">
        <v>2014</v>
      </c>
      <c r="B21" s="17">
        <v>286.89</v>
      </c>
      <c r="C21" s="78">
        <f>'Matrix 1'!GS31</f>
        <v>7232185.719315698</v>
      </c>
      <c r="D21" s="11"/>
      <c r="E21" s="22"/>
      <c r="F21" s="11">
        <f t="shared" si="0"/>
        <v>7232185.719315698</v>
      </c>
      <c r="G21" s="22">
        <f t="shared" si="1"/>
        <v>7232185.719315698</v>
      </c>
      <c r="H21" s="81">
        <f t="shared" si="2"/>
        <v>7897322.722328553</v>
      </c>
      <c r="I21" s="47">
        <f t="shared" si="3"/>
        <v>8257300.323917099</v>
      </c>
      <c r="J21" s="14">
        <f t="shared" si="6"/>
        <v>13.7636772322642</v>
      </c>
      <c r="K21" s="24">
        <f t="shared" si="7"/>
        <v>14.391056369892814</v>
      </c>
      <c r="L21" s="218">
        <v>198200</v>
      </c>
      <c r="M21" s="219">
        <v>5145153</v>
      </c>
      <c r="N21" s="218">
        <f t="shared" si="4"/>
        <v>8095522.722328553</v>
      </c>
      <c r="O21" s="219">
        <f t="shared" si="5"/>
        <v>13402453.323917098</v>
      </c>
    </row>
    <row r="22" spans="1:15" ht="15">
      <c r="A22" s="104">
        <v>2015</v>
      </c>
      <c r="B22" s="17">
        <v>296.015</v>
      </c>
      <c r="C22" s="78">
        <f>'Matrix 1'!GS32</f>
        <v>7461808.80588658</v>
      </c>
      <c r="D22" s="11"/>
      <c r="E22" s="22"/>
      <c r="F22" s="11">
        <f t="shared" si="0"/>
        <v>7461808.80588658</v>
      </c>
      <c r="G22" s="22">
        <f t="shared" si="1"/>
        <v>7461808.80588658</v>
      </c>
      <c r="H22" s="81">
        <f t="shared" si="2"/>
        <v>8126945.808899434</v>
      </c>
      <c r="I22" s="47">
        <f t="shared" si="3"/>
        <v>8486923.41048798</v>
      </c>
      <c r="J22" s="14">
        <f t="shared" si="6"/>
        <v>13.727253363679939</v>
      </c>
      <c r="K22" s="24">
        <f t="shared" si="7"/>
        <v>14.335292823823083</v>
      </c>
      <c r="L22" s="218">
        <v>198200</v>
      </c>
      <c r="M22" s="219">
        <v>5145153</v>
      </c>
      <c r="N22" s="218">
        <f t="shared" si="4"/>
        <v>8325145.808899434</v>
      </c>
      <c r="O22" s="219">
        <f t="shared" si="5"/>
        <v>13632076.41048798</v>
      </c>
    </row>
    <row r="23" spans="1:15" ht="15">
      <c r="A23" s="104">
        <v>2016</v>
      </c>
      <c r="B23" s="17">
        <v>293.825</v>
      </c>
      <c r="C23" s="78">
        <f>'Matrix 1'!GS33</f>
        <v>7683852.148886148</v>
      </c>
      <c r="D23" s="11"/>
      <c r="E23" s="22"/>
      <c r="F23" s="11">
        <f t="shared" si="0"/>
        <v>7683852.148886148</v>
      </c>
      <c r="G23" s="22">
        <f t="shared" si="1"/>
        <v>7683852.148886148</v>
      </c>
      <c r="H23" s="81">
        <f t="shared" si="2"/>
        <v>8348989.1518990025</v>
      </c>
      <c r="I23" s="47">
        <f t="shared" si="3"/>
        <v>8708966.753487548</v>
      </c>
      <c r="J23" s="14">
        <f t="shared" si="6"/>
        <v>14.207417939077686</v>
      </c>
      <c r="K23" s="24">
        <f t="shared" si="7"/>
        <v>14.819989370352332</v>
      </c>
      <c r="L23" s="218">
        <v>198200</v>
      </c>
      <c r="M23" s="219">
        <v>5145153</v>
      </c>
      <c r="N23" s="218">
        <f t="shared" si="4"/>
        <v>8547189.151899002</v>
      </c>
      <c r="O23" s="219">
        <f t="shared" si="5"/>
        <v>13854119.753487548</v>
      </c>
    </row>
    <row r="24" spans="1:15" ht="15">
      <c r="A24" s="104">
        <v>2017</v>
      </c>
      <c r="B24" s="17">
        <v>242.36</v>
      </c>
      <c r="C24" s="78">
        <f>'Matrix 1'!GS34</f>
        <v>7898201.745309517</v>
      </c>
      <c r="D24" s="11"/>
      <c r="E24" s="22"/>
      <c r="F24" s="11">
        <f t="shared" si="0"/>
        <v>7898201.745309517</v>
      </c>
      <c r="G24" s="22">
        <f t="shared" si="1"/>
        <v>7898201.745309517</v>
      </c>
      <c r="H24" s="81">
        <f t="shared" si="2"/>
        <v>8563338.748322371</v>
      </c>
      <c r="I24" s="47">
        <f t="shared" si="3"/>
        <v>8923316.349910917</v>
      </c>
      <c r="J24" s="14">
        <f t="shared" si="6"/>
        <v>17.666567808884245</v>
      </c>
      <c r="K24" s="24">
        <f t="shared" si="7"/>
        <v>18.40921841457113</v>
      </c>
      <c r="L24" s="218">
        <v>198200</v>
      </c>
      <c r="M24" s="219">
        <v>5145153</v>
      </c>
      <c r="N24" s="218">
        <f t="shared" si="4"/>
        <v>8761538.748322371</v>
      </c>
      <c r="O24" s="219">
        <f t="shared" si="5"/>
        <v>14068469.349910917</v>
      </c>
    </row>
    <row r="25" spans="1:15" ht="15">
      <c r="A25" s="104">
        <v>2018</v>
      </c>
      <c r="B25" s="17">
        <v>222.65</v>
      </c>
      <c r="C25" s="78">
        <f>'Matrix 1'!GS35</f>
        <v>4723773.552947615</v>
      </c>
      <c r="D25" s="11"/>
      <c r="E25" s="22"/>
      <c r="F25" s="11">
        <f t="shared" si="0"/>
        <v>4723773.552947615</v>
      </c>
      <c r="G25" s="22">
        <f t="shared" si="1"/>
        <v>4723773.552947615</v>
      </c>
      <c r="H25" s="81">
        <f t="shared" si="2"/>
        <v>5388910.55596047</v>
      </c>
      <c r="I25" s="47">
        <f t="shared" si="3"/>
        <v>5748888.157549016</v>
      </c>
      <c r="J25" s="14">
        <f t="shared" si="6"/>
        <v>12.101752876623557</v>
      </c>
      <c r="K25" s="24">
        <f t="shared" si="7"/>
        <v>12.910146322813869</v>
      </c>
      <c r="L25" s="218">
        <v>198200</v>
      </c>
      <c r="M25" s="219">
        <v>5145153</v>
      </c>
      <c r="N25" s="218">
        <f t="shared" si="4"/>
        <v>5587110.55596047</v>
      </c>
      <c r="O25" s="219">
        <f t="shared" si="5"/>
        <v>10894041.157549016</v>
      </c>
    </row>
    <row r="26" spans="1:15" ht="15">
      <c r="A26" s="104">
        <v>2019</v>
      </c>
      <c r="B26" s="17">
        <v>204.035</v>
      </c>
      <c r="C26" s="78">
        <f>'Matrix 1'!GS36</f>
        <v>4657702.609568207</v>
      </c>
      <c r="D26" s="11"/>
      <c r="E26" s="22"/>
      <c r="F26" s="11">
        <f t="shared" si="0"/>
        <v>4657702.609568207</v>
      </c>
      <c r="G26" s="22">
        <f t="shared" si="1"/>
        <v>4657702.609568207</v>
      </c>
      <c r="H26" s="81">
        <f t="shared" si="2"/>
        <v>5322839.612581061</v>
      </c>
      <c r="I26" s="47">
        <f t="shared" si="3"/>
        <v>5682817.2141696075</v>
      </c>
      <c r="J26" s="14">
        <f t="shared" si="6"/>
        <v>13.043937590563043</v>
      </c>
      <c r="K26" s="24">
        <f t="shared" si="7"/>
        <v>13.926084284974655</v>
      </c>
      <c r="L26" s="218">
        <v>198200</v>
      </c>
      <c r="M26" s="219">
        <v>5145153</v>
      </c>
      <c r="N26" s="218">
        <f t="shared" si="4"/>
        <v>5521039.612581061</v>
      </c>
      <c r="O26" s="219">
        <f t="shared" si="5"/>
        <v>10827970.214169607</v>
      </c>
    </row>
    <row r="27" spans="1:15" ht="16.5" thickBot="1">
      <c r="A27" s="104">
        <v>2020</v>
      </c>
      <c r="B27" s="17">
        <v>191.625</v>
      </c>
      <c r="C27" s="78">
        <f>'Matrix 1'!GS37</f>
        <v>4175634.021916871</v>
      </c>
      <c r="D27" s="11"/>
      <c r="E27" s="22"/>
      <c r="F27" s="11">
        <f t="shared" si="0"/>
        <v>4175634.021916871</v>
      </c>
      <c r="G27" s="22">
        <f t="shared" si="1"/>
        <v>4175634.021916871</v>
      </c>
      <c r="H27" s="119">
        <f t="shared" si="2"/>
        <v>4840771.024929726</v>
      </c>
      <c r="I27" s="118">
        <f t="shared" si="3"/>
        <v>5200748.626518272</v>
      </c>
      <c r="J27" s="14">
        <f t="shared" si="6"/>
        <v>12.630844161590934</v>
      </c>
      <c r="K27" s="24">
        <f t="shared" si="7"/>
        <v>13.57012035621206</v>
      </c>
      <c r="L27" s="218">
        <v>198200</v>
      </c>
      <c r="M27" s="219">
        <v>5145153</v>
      </c>
      <c r="N27" s="220">
        <f t="shared" si="4"/>
        <v>5038971.024929726</v>
      </c>
      <c r="O27" s="221">
        <f t="shared" si="5"/>
        <v>10345901.626518272</v>
      </c>
    </row>
    <row r="28" spans="2:15" ht="18.75" thickTop="1">
      <c r="B28" s="223">
        <f>SUM(B15:B27)</f>
        <v>2972.9249999999997</v>
      </c>
      <c r="C28" s="224" t="s">
        <v>153</v>
      </c>
      <c r="D28" s="11"/>
      <c r="E28" s="11"/>
      <c r="F28" s="11"/>
      <c r="G28" s="11" t="s">
        <v>112</v>
      </c>
      <c r="H28" s="61">
        <f>SUM(H16:H27)</f>
        <v>84210713.99240914</v>
      </c>
      <c r="I28" s="11">
        <f>SUM(I16:I27)</f>
        <v>88530445.21147168</v>
      </c>
      <c r="J28" s="209">
        <f>MIN(J16:J27)</f>
        <v>12.101752876623557</v>
      </c>
      <c r="K28" s="208">
        <f>MAX(K16:K27)</f>
        <v>18.40921841457113</v>
      </c>
      <c r="L28" s="218">
        <f>SUM(L15:L27)</f>
        <v>2576600</v>
      </c>
      <c r="M28" s="218">
        <f>SUM(M15:M27)</f>
        <v>66886989</v>
      </c>
      <c r="N28" s="222">
        <f>SUM(N15:N27)</f>
        <v>86787313.99240914</v>
      </c>
      <c r="O28" s="218">
        <f>SUM(O15:O27)</f>
        <v>155417434.21147165</v>
      </c>
    </row>
    <row r="29" spans="2:15" ht="16.5" thickBot="1">
      <c r="B29" s="25"/>
      <c r="C29" s="12"/>
      <c r="D29" s="11"/>
      <c r="E29" s="11"/>
      <c r="F29" s="11"/>
      <c r="G29" s="11"/>
      <c r="H29" s="11"/>
      <c r="I29" s="11"/>
      <c r="J29" s="210" t="s">
        <v>151</v>
      </c>
      <c r="K29" s="211" t="s">
        <v>152</v>
      </c>
      <c r="L29" s="213"/>
      <c r="M29" s="213"/>
      <c r="N29" s="213" t="s">
        <v>114</v>
      </c>
      <c r="O29" s="213"/>
    </row>
    <row r="30" spans="2:11" ht="18">
      <c r="B30" s="25"/>
      <c r="C30" s="12"/>
      <c r="D30" s="11"/>
      <c r="E30" s="11"/>
      <c r="F30" s="11"/>
      <c r="G30" s="11"/>
      <c r="H30" s="11"/>
      <c r="I30" s="11"/>
      <c r="J30" s="26"/>
      <c r="K30" s="116"/>
    </row>
    <row r="31" spans="1:9" ht="18">
      <c r="A31" s="54" t="s">
        <v>196</v>
      </c>
      <c r="C31" s="5"/>
      <c r="D31" s="5"/>
      <c r="E31" s="5"/>
      <c r="F31" s="5"/>
      <c r="G31" s="5"/>
      <c r="H31" s="5"/>
      <c r="I31" s="5"/>
    </row>
    <row r="32" spans="1:9" ht="15">
      <c r="A32" t="s">
        <v>105</v>
      </c>
      <c r="C32" s="5"/>
      <c r="D32" s="5"/>
      <c r="E32" s="5"/>
      <c r="F32" s="5"/>
      <c r="G32" s="5"/>
      <c r="H32" s="5"/>
      <c r="I32" s="5"/>
    </row>
    <row r="33" spans="1:9" ht="15">
      <c r="A33" t="s">
        <v>103</v>
      </c>
      <c r="C33" s="5"/>
      <c r="D33" s="5"/>
      <c r="E33" s="5"/>
      <c r="F33" s="5"/>
      <c r="G33" s="5"/>
      <c r="H33" s="5"/>
      <c r="I33" s="5"/>
    </row>
    <row r="35" ht="18">
      <c r="A35" s="7" t="s">
        <v>154</v>
      </c>
    </row>
    <row r="36" ht="15">
      <c r="D36" t="s">
        <v>67</v>
      </c>
    </row>
    <row r="37" ht="15">
      <c r="D37" t="s">
        <v>17</v>
      </c>
    </row>
    <row r="38" spans="4:5" ht="15">
      <c r="D38" s="98">
        <v>78760</v>
      </c>
      <c r="E38" s="98">
        <v>2346240</v>
      </c>
    </row>
    <row r="39" spans="1:15" ht="15.75">
      <c r="A39" s="16"/>
      <c r="J39" s="1" t="s">
        <v>160</v>
      </c>
      <c r="K39" s="104"/>
      <c r="L39" s="235" t="s">
        <v>165</v>
      </c>
      <c r="M39" s="236"/>
      <c r="N39" s="236"/>
      <c r="O39" s="237"/>
    </row>
    <row r="40" spans="1:15" ht="15">
      <c r="A40" s="104"/>
      <c r="B40" s="3" t="s">
        <v>95</v>
      </c>
      <c r="C40" s="27" t="s">
        <v>6</v>
      </c>
      <c r="D40" s="100" t="s">
        <v>195</v>
      </c>
      <c r="E40" s="18"/>
      <c r="F40" s="100" t="s">
        <v>200</v>
      </c>
      <c r="G40" s="18"/>
      <c r="H40" s="13"/>
      <c r="I40" s="104"/>
      <c r="J40" s="99" t="s">
        <v>159</v>
      </c>
      <c r="K40" s="18"/>
      <c r="L40" s="213"/>
      <c r="M40" s="213"/>
      <c r="N40" s="213"/>
      <c r="O40" s="214"/>
    </row>
    <row r="41" spans="1:15" ht="18">
      <c r="A41" s="18" t="s">
        <v>5</v>
      </c>
      <c r="B41" s="3" t="s">
        <v>96</v>
      </c>
      <c r="C41" s="27" t="s">
        <v>110</v>
      </c>
      <c r="D41" s="101" t="s">
        <v>3</v>
      </c>
      <c r="E41" s="102" t="s">
        <v>102</v>
      </c>
      <c r="F41" s="100" t="s">
        <v>104</v>
      </c>
      <c r="G41" s="18"/>
      <c r="H41" s="99" t="s">
        <v>107</v>
      </c>
      <c r="I41" s="105"/>
      <c r="J41" s="28" t="s">
        <v>9</v>
      </c>
      <c r="K41" s="18" t="s">
        <v>10</v>
      </c>
      <c r="L41" s="212" t="s">
        <v>113</v>
      </c>
      <c r="M41" s="214"/>
      <c r="N41" s="213" t="s">
        <v>162</v>
      </c>
      <c r="O41" s="214"/>
    </row>
    <row r="42" spans="1:15" ht="15.75" thickBot="1">
      <c r="A42" s="225"/>
      <c r="B42" s="20" t="s">
        <v>11</v>
      </c>
      <c r="C42" s="95" t="s">
        <v>111</v>
      </c>
      <c r="D42" s="29" t="s">
        <v>12</v>
      </c>
      <c r="E42" s="20" t="s">
        <v>13</v>
      </c>
      <c r="F42" s="19" t="s">
        <v>12</v>
      </c>
      <c r="G42" s="20" t="s">
        <v>13</v>
      </c>
      <c r="H42" s="106" t="s">
        <v>12</v>
      </c>
      <c r="I42" s="107" t="s">
        <v>13</v>
      </c>
      <c r="J42" s="19" t="s">
        <v>12</v>
      </c>
      <c r="K42" s="20" t="s">
        <v>13</v>
      </c>
      <c r="L42" s="215" t="s">
        <v>12</v>
      </c>
      <c r="M42" s="216" t="s">
        <v>13</v>
      </c>
      <c r="N42" s="217" t="s">
        <v>12</v>
      </c>
      <c r="O42" s="216" t="s">
        <v>13</v>
      </c>
    </row>
    <row r="43" spans="1:15" ht="15.75" thickTop="1">
      <c r="A43" s="104">
        <v>2008</v>
      </c>
      <c r="B43" s="17">
        <v>0</v>
      </c>
      <c r="C43" s="78">
        <f>'Matrix 1'!GS63</f>
        <v>5800773.459254383</v>
      </c>
      <c r="D43" s="11">
        <f>$D$38*((1+0.05)^6)</f>
        <v>105545.932655625</v>
      </c>
      <c r="E43" s="22">
        <f>$E$38*((1+0.05)^6)</f>
        <v>3144185.99586</v>
      </c>
      <c r="F43" s="11">
        <f aca="true" t="shared" si="8" ref="F43:F55">SUM(C43+D43)</f>
        <v>5906319.391910008</v>
      </c>
      <c r="G43" s="22">
        <f aca="true" t="shared" si="9" ref="G43:G55">SUM(C43+E43)</f>
        <v>8944959.455114383</v>
      </c>
      <c r="H43" s="81"/>
      <c r="I43" s="47"/>
      <c r="J43" s="108" t="s">
        <v>164</v>
      </c>
      <c r="K43" s="23"/>
      <c r="L43" s="218">
        <v>198200</v>
      </c>
      <c r="M43" s="219">
        <v>5145153</v>
      </c>
      <c r="N43" s="218">
        <f>H43+L43</f>
        <v>198200</v>
      </c>
      <c r="O43" s="219">
        <f>I43+M43</f>
        <v>5145153</v>
      </c>
    </row>
    <row r="44" spans="1:15" ht="15">
      <c r="A44" s="104">
        <v>2009</v>
      </c>
      <c r="B44" s="17">
        <v>213.89</v>
      </c>
      <c r="C44" s="78">
        <f>'Matrix 1'!GS64</f>
        <v>6262573.078021709</v>
      </c>
      <c r="D44" s="11"/>
      <c r="E44" s="22"/>
      <c r="F44" s="11">
        <f t="shared" si="8"/>
        <v>6262573.078021709</v>
      </c>
      <c r="G44" s="22">
        <f t="shared" si="9"/>
        <v>6262573.078021709</v>
      </c>
      <c r="H44" s="81">
        <f aca="true" t="shared" si="10" ref="H44:H55">($F$43*((1+$I$9)^1))*(($I$9*(1+$I$9)^12)/(((1+$I$9)^12)-1))+F44</f>
        <v>6962275.130483156</v>
      </c>
      <c r="I44" s="47">
        <f aca="true" t="shared" si="11" ref="I44:I55">($G$43*((1+$I$9)^1))*(($I$9*(1+$I$9)^12)/(((1+$I$9)^12)-1))+G44</f>
        <v>7322252.732071701</v>
      </c>
      <c r="J44" s="14">
        <f>H44/(B44*2000)</f>
        <v>16.275363809629145</v>
      </c>
      <c r="K44" s="24">
        <f>I44/(B44*2000)</f>
        <v>17.11686551982725</v>
      </c>
      <c r="L44" s="218">
        <v>198200</v>
      </c>
      <c r="M44" s="219">
        <v>5145153</v>
      </c>
      <c r="N44" s="218">
        <f aca="true" t="shared" si="12" ref="N44:N55">H44+L44</f>
        <v>7160475.130483156</v>
      </c>
      <c r="O44" s="219">
        <f aca="true" t="shared" si="13" ref="O44:O55">I44+M44</f>
        <v>12467405.732071701</v>
      </c>
    </row>
    <row r="45" spans="1:15" ht="15">
      <c r="A45" s="104">
        <v>2010</v>
      </c>
      <c r="B45" s="17">
        <v>219</v>
      </c>
      <c r="C45" s="78">
        <f>'Matrix 1'!GS65</f>
        <v>6525600.2578826295</v>
      </c>
      <c r="D45" s="11"/>
      <c r="E45" s="22"/>
      <c r="F45" s="11">
        <f t="shared" si="8"/>
        <v>6525600.2578826295</v>
      </c>
      <c r="G45" s="22">
        <f t="shared" si="9"/>
        <v>6525600.2578826295</v>
      </c>
      <c r="H45" s="81">
        <f t="shared" si="10"/>
        <v>7225302.310344076</v>
      </c>
      <c r="I45" s="47">
        <f t="shared" si="11"/>
        <v>7585279.911932622</v>
      </c>
      <c r="J45" s="14">
        <f aca="true" t="shared" si="14" ref="J45:J55">H45/(B45*2000)</f>
        <v>16.49612399621935</v>
      </c>
      <c r="K45" s="24">
        <f aca="true" t="shared" si="15" ref="K45:K55">I45/(B45*2000)</f>
        <v>17.317990666512834</v>
      </c>
      <c r="L45" s="218">
        <v>198200</v>
      </c>
      <c r="M45" s="219">
        <v>5145153</v>
      </c>
      <c r="N45" s="218">
        <f t="shared" si="12"/>
        <v>7423502.310344076</v>
      </c>
      <c r="O45" s="219">
        <f t="shared" si="13"/>
        <v>12730432.911932621</v>
      </c>
    </row>
    <row r="46" spans="1:15" ht="15">
      <c r="A46" s="104">
        <v>2011</v>
      </c>
      <c r="B46" s="17">
        <v>253.675</v>
      </c>
      <c r="C46" s="78">
        <f>'Matrix 1'!GS66</f>
        <v>6778367.895775853</v>
      </c>
      <c r="D46" s="11"/>
      <c r="E46" s="22"/>
      <c r="F46" s="11">
        <f t="shared" si="8"/>
        <v>6778367.895775853</v>
      </c>
      <c r="G46" s="22">
        <f t="shared" si="9"/>
        <v>6778367.895775853</v>
      </c>
      <c r="H46" s="81">
        <f t="shared" si="10"/>
        <v>7478069.9482373</v>
      </c>
      <c r="I46" s="47">
        <f t="shared" si="11"/>
        <v>7838047.549825845</v>
      </c>
      <c r="J46" s="14">
        <f t="shared" si="14"/>
        <v>14.739469692002167</v>
      </c>
      <c r="K46" s="24">
        <f t="shared" si="15"/>
        <v>15.448994874989348</v>
      </c>
      <c r="L46" s="218">
        <v>198200</v>
      </c>
      <c r="M46" s="219">
        <v>5145153</v>
      </c>
      <c r="N46" s="218">
        <f t="shared" si="12"/>
        <v>7676269.9482373</v>
      </c>
      <c r="O46" s="219">
        <f t="shared" si="13"/>
        <v>12983200.549825845</v>
      </c>
    </row>
    <row r="47" spans="1:15" ht="15">
      <c r="A47" s="104">
        <v>2012</v>
      </c>
      <c r="B47" s="17">
        <v>269.735</v>
      </c>
      <c r="C47" s="78">
        <f>'Matrix 1'!GS67</f>
        <v>7021704.6498752665</v>
      </c>
      <c r="D47" s="11"/>
      <c r="E47" s="22"/>
      <c r="F47" s="11">
        <f t="shared" si="8"/>
        <v>7021704.6498752665</v>
      </c>
      <c r="G47" s="22">
        <f t="shared" si="9"/>
        <v>7021704.6498752665</v>
      </c>
      <c r="H47" s="81">
        <f t="shared" si="10"/>
        <v>7721406.702336714</v>
      </c>
      <c r="I47" s="47">
        <f t="shared" si="11"/>
        <v>8081384.303925259</v>
      </c>
      <c r="J47" s="14">
        <f t="shared" si="14"/>
        <v>14.312949195204022</v>
      </c>
      <c r="K47" s="24">
        <f t="shared" si="15"/>
        <v>14.98022930640306</v>
      </c>
      <c r="L47" s="218">
        <v>198200</v>
      </c>
      <c r="M47" s="219">
        <v>5145153</v>
      </c>
      <c r="N47" s="218">
        <f t="shared" si="12"/>
        <v>7919606.702336714</v>
      </c>
      <c r="O47" s="219">
        <f t="shared" si="13"/>
        <v>13226537.303925259</v>
      </c>
    </row>
    <row r="48" spans="1:15" ht="15">
      <c r="A48" s="104">
        <v>2013</v>
      </c>
      <c r="B48" s="17">
        <v>279.225</v>
      </c>
      <c r="C48" s="78">
        <f>'Matrix 1'!GS68</f>
        <v>7255752.676280313</v>
      </c>
      <c r="D48" s="11"/>
      <c r="E48" s="22"/>
      <c r="F48" s="11">
        <f t="shared" si="8"/>
        <v>7255752.676280313</v>
      </c>
      <c r="G48" s="22">
        <f t="shared" si="9"/>
        <v>7255752.676280313</v>
      </c>
      <c r="H48" s="81">
        <f t="shared" si="10"/>
        <v>7955454.728741759</v>
      </c>
      <c r="I48" s="47">
        <f t="shared" si="11"/>
        <v>8315432.330330306</v>
      </c>
      <c r="J48" s="14">
        <f t="shared" si="14"/>
        <v>14.245598941251249</v>
      </c>
      <c r="K48" s="24">
        <f t="shared" si="15"/>
        <v>14.890200251285354</v>
      </c>
      <c r="L48" s="218">
        <v>198200</v>
      </c>
      <c r="M48" s="219">
        <v>5145153</v>
      </c>
      <c r="N48" s="218">
        <f t="shared" si="12"/>
        <v>8153654.728741759</v>
      </c>
      <c r="O48" s="219">
        <f t="shared" si="13"/>
        <v>13460585.330330305</v>
      </c>
    </row>
    <row r="49" spans="1:15" ht="15">
      <c r="A49" s="104">
        <v>2014</v>
      </c>
      <c r="B49" s="17">
        <v>286.89</v>
      </c>
      <c r="C49" s="78">
        <f>'Matrix 1'!GS69</f>
        <v>7481773.614240916</v>
      </c>
      <c r="D49" s="11"/>
      <c r="E49" s="22"/>
      <c r="F49" s="11">
        <f t="shared" si="8"/>
        <v>7481773.614240916</v>
      </c>
      <c r="G49" s="22">
        <f t="shared" si="9"/>
        <v>7481773.614240916</v>
      </c>
      <c r="H49" s="81">
        <f t="shared" si="10"/>
        <v>8181475.666702364</v>
      </c>
      <c r="I49" s="47">
        <f t="shared" si="11"/>
        <v>8541453.268290909</v>
      </c>
      <c r="J49" s="14">
        <f t="shared" si="14"/>
        <v>14.258907014365024</v>
      </c>
      <c r="K49" s="24">
        <f t="shared" si="15"/>
        <v>14.886286151993637</v>
      </c>
      <c r="L49" s="218">
        <v>198200</v>
      </c>
      <c r="M49" s="219">
        <v>5145153</v>
      </c>
      <c r="N49" s="218">
        <f t="shared" si="12"/>
        <v>8379675.666702364</v>
      </c>
      <c r="O49" s="219">
        <f t="shared" si="13"/>
        <v>13686606.268290909</v>
      </c>
    </row>
    <row r="50" spans="1:15" ht="15">
      <c r="A50" s="104">
        <v>2015</v>
      </c>
      <c r="B50" s="17">
        <v>296.015</v>
      </c>
      <c r="C50" s="78">
        <f>'Matrix 1'!GS70</f>
        <v>7699511.562958216</v>
      </c>
      <c r="D50" s="11"/>
      <c r="E50" s="22"/>
      <c r="F50" s="11">
        <f t="shared" si="8"/>
        <v>7699511.562958216</v>
      </c>
      <c r="G50" s="22">
        <f t="shared" si="9"/>
        <v>7699511.562958216</v>
      </c>
      <c r="H50" s="81">
        <f t="shared" si="10"/>
        <v>8399213.615419663</v>
      </c>
      <c r="I50" s="47">
        <f t="shared" si="11"/>
        <v>8759191.217008209</v>
      </c>
      <c r="J50" s="14">
        <f t="shared" si="14"/>
        <v>14.187141893856161</v>
      </c>
      <c r="K50" s="24">
        <f t="shared" si="15"/>
        <v>14.795181353999306</v>
      </c>
      <c r="L50" s="218">
        <v>198200</v>
      </c>
      <c r="M50" s="219">
        <v>5145153</v>
      </c>
      <c r="N50" s="218">
        <f t="shared" si="12"/>
        <v>8597413.615419663</v>
      </c>
      <c r="O50" s="219">
        <f t="shared" si="13"/>
        <v>13904344.217008209</v>
      </c>
    </row>
    <row r="51" spans="1:15" ht="15">
      <c r="A51" s="104">
        <v>2016</v>
      </c>
      <c r="B51" s="17">
        <v>293.825</v>
      </c>
      <c r="C51" s="78">
        <f>'Matrix 1'!GS71</f>
        <v>7910235.7270496115</v>
      </c>
      <c r="D51" s="11"/>
      <c r="E51" s="22"/>
      <c r="F51" s="11">
        <f t="shared" si="8"/>
        <v>7910235.7270496115</v>
      </c>
      <c r="G51" s="22">
        <f t="shared" si="9"/>
        <v>7910235.7270496115</v>
      </c>
      <c r="H51" s="81">
        <f t="shared" si="10"/>
        <v>8609937.779511059</v>
      </c>
      <c r="I51" s="47">
        <f t="shared" si="11"/>
        <v>8969915.381099604</v>
      </c>
      <c r="J51" s="14">
        <f t="shared" si="14"/>
        <v>14.651472440246845</v>
      </c>
      <c r="K51" s="24">
        <f t="shared" si="15"/>
        <v>15.26404387152149</v>
      </c>
      <c r="L51" s="218">
        <v>198200</v>
      </c>
      <c r="M51" s="219">
        <v>5145153</v>
      </c>
      <c r="N51" s="218">
        <f t="shared" si="12"/>
        <v>8808137.779511059</v>
      </c>
      <c r="O51" s="219">
        <f t="shared" si="13"/>
        <v>14115068.381099604</v>
      </c>
    </row>
    <row r="52" spans="1:15" ht="15.75">
      <c r="A52" s="104">
        <v>2017</v>
      </c>
      <c r="B52" s="17">
        <v>242.36</v>
      </c>
      <c r="C52" s="78">
        <f>'Matrix 1'!GS72</f>
        <v>8113805.153084244</v>
      </c>
      <c r="D52" s="11"/>
      <c r="E52" s="22"/>
      <c r="F52" s="11">
        <f t="shared" si="8"/>
        <v>8113805.153084244</v>
      </c>
      <c r="G52" s="22">
        <f t="shared" si="9"/>
        <v>8113805.153084244</v>
      </c>
      <c r="H52" s="81">
        <f t="shared" si="10"/>
        <v>8813507.20554569</v>
      </c>
      <c r="I52" s="38">
        <f t="shared" si="11"/>
        <v>9173484.807134235</v>
      </c>
      <c r="J52" s="14">
        <f t="shared" si="14"/>
        <v>18.18267702084851</v>
      </c>
      <c r="K52" s="24">
        <f t="shared" si="15"/>
        <v>18.925327626535392</v>
      </c>
      <c r="L52" s="218">
        <v>198200</v>
      </c>
      <c r="M52" s="219">
        <v>5145153</v>
      </c>
      <c r="N52" s="218">
        <f t="shared" si="12"/>
        <v>9011707.20554569</v>
      </c>
      <c r="O52" s="219">
        <f t="shared" si="13"/>
        <v>14318637.807134235</v>
      </c>
    </row>
    <row r="53" spans="1:15" ht="15">
      <c r="A53" s="104">
        <v>2018</v>
      </c>
      <c r="B53" s="17">
        <v>222.65</v>
      </c>
      <c r="C53" s="78">
        <f>'Matrix 1'!GS73</f>
        <v>4749988.526682051</v>
      </c>
      <c r="D53" s="11"/>
      <c r="E53" s="22"/>
      <c r="F53" s="11">
        <f t="shared" si="8"/>
        <v>4749988.526682051</v>
      </c>
      <c r="G53" s="22">
        <f t="shared" si="9"/>
        <v>4749988.526682051</v>
      </c>
      <c r="H53" s="81">
        <f t="shared" si="10"/>
        <v>5449690.579143498</v>
      </c>
      <c r="I53" s="47">
        <f t="shared" si="11"/>
        <v>5809668.180732043</v>
      </c>
      <c r="J53" s="14">
        <f t="shared" si="14"/>
        <v>12.238245181099254</v>
      </c>
      <c r="K53" s="24">
        <f t="shared" si="15"/>
        <v>13.046638627289566</v>
      </c>
      <c r="L53" s="218">
        <v>198200</v>
      </c>
      <c r="M53" s="219">
        <v>5145153</v>
      </c>
      <c r="N53" s="218">
        <f t="shared" si="12"/>
        <v>5647890.579143498</v>
      </c>
      <c r="O53" s="219">
        <f t="shared" si="13"/>
        <v>10954821.180732043</v>
      </c>
    </row>
    <row r="54" spans="1:15" ht="15">
      <c r="A54" s="104">
        <v>2019</v>
      </c>
      <c r="B54" s="17">
        <v>204.035</v>
      </c>
      <c r="C54" s="78">
        <f>'Matrix 1'!GS74</f>
        <v>4657702.609568207</v>
      </c>
      <c r="D54" s="11"/>
      <c r="E54" s="22"/>
      <c r="F54" s="11">
        <f t="shared" si="8"/>
        <v>4657702.609568207</v>
      </c>
      <c r="G54" s="22">
        <f t="shared" si="9"/>
        <v>4657702.609568207</v>
      </c>
      <c r="H54" s="81">
        <f t="shared" si="10"/>
        <v>5357404.662029654</v>
      </c>
      <c r="I54" s="47">
        <f t="shared" si="11"/>
        <v>5717382.263618199</v>
      </c>
      <c r="J54" s="14">
        <f t="shared" si="14"/>
        <v>13.128641316513475</v>
      </c>
      <c r="K54" s="24">
        <f t="shared" si="15"/>
        <v>14.010788010925085</v>
      </c>
      <c r="L54" s="218">
        <v>198200</v>
      </c>
      <c r="M54" s="219">
        <v>5145153</v>
      </c>
      <c r="N54" s="218">
        <f t="shared" si="12"/>
        <v>5555604.662029654</v>
      </c>
      <c r="O54" s="219">
        <f t="shared" si="13"/>
        <v>10862535.2636182</v>
      </c>
    </row>
    <row r="55" spans="1:15" ht="15.75" thickBot="1">
      <c r="A55" s="104">
        <v>2020</v>
      </c>
      <c r="B55" s="17">
        <v>191.625</v>
      </c>
      <c r="C55" s="78">
        <f>'Matrix 1'!GS75</f>
        <v>4175634.021916871</v>
      </c>
      <c r="D55" s="11"/>
      <c r="E55" s="22"/>
      <c r="F55" s="11">
        <f t="shared" si="8"/>
        <v>4175634.021916871</v>
      </c>
      <c r="G55" s="22">
        <f t="shared" si="9"/>
        <v>4175634.021916871</v>
      </c>
      <c r="H55" s="117">
        <f t="shared" si="10"/>
        <v>4875336.074378317</v>
      </c>
      <c r="I55" s="118">
        <f t="shared" si="11"/>
        <v>5235313.6759668635</v>
      </c>
      <c r="J55" s="14">
        <f t="shared" si="14"/>
        <v>12.721033462174343</v>
      </c>
      <c r="K55" s="24">
        <f t="shared" si="15"/>
        <v>13.66030965679547</v>
      </c>
      <c r="L55" s="218">
        <v>198200</v>
      </c>
      <c r="M55" s="219">
        <v>5145153</v>
      </c>
      <c r="N55" s="220">
        <f t="shared" si="12"/>
        <v>5073536.074378317</v>
      </c>
      <c r="O55" s="221">
        <f t="shared" si="13"/>
        <v>10380466.675966863</v>
      </c>
    </row>
    <row r="56" spans="2:15" ht="18.75" thickTop="1">
      <c r="B56" s="223">
        <f>SUM(B43:B55)</f>
        <v>2972.9249999999997</v>
      </c>
      <c r="C56" s="224" t="s">
        <v>153</v>
      </c>
      <c r="D56" s="11"/>
      <c r="E56" s="11"/>
      <c r="F56" s="11"/>
      <c r="G56" s="11" t="s">
        <v>112</v>
      </c>
      <c r="H56" s="81">
        <f>SUM(H44:H55)</f>
        <v>87029074.40287325</v>
      </c>
      <c r="I56" s="61">
        <f>SUM(I44:I55)</f>
        <v>91348805.6219358</v>
      </c>
      <c r="J56" s="208">
        <f>MIN(J44:J55)</f>
        <v>12.238245181099254</v>
      </c>
      <c r="K56" s="209">
        <f>MAX(K44:K55)</f>
        <v>18.925327626535392</v>
      </c>
      <c r="L56" s="218">
        <f>SUM(L43:L55)</f>
        <v>2576600</v>
      </c>
      <c r="M56" s="218">
        <f>SUM(M43:M55)</f>
        <v>66886989</v>
      </c>
      <c r="N56" s="218">
        <f>SUM(N43:N55)</f>
        <v>89605674.40287325</v>
      </c>
      <c r="O56" s="222">
        <f>SUM(O43:O55)</f>
        <v>158235794.62193578</v>
      </c>
    </row>
    <row r="57" spans="10:15" ht="16.5" thickBot="1">
      <c r="J57" s="211" t="s">
        <v>151</v>
      </c>
      <c r="K57" s="210" t="s">
        <v>152</v>
      </c>
      <c r="L57" s="213"/>
      <c r="M57" s="213"/>
      <c r="N57" s="213" t="s">
        <v>114</v>
      </c>
      <c r="O57" s="213"/>
    </row>
    <row r="58" ht="18">
      <c r="A58" s="54" t="s">
        <v>196</v>
      </c>
    </row>
    <row r="59" ht="15">
      <c r="A59" t="s">
        <v>161</v>
      </c>
    </row>
    <row r="60" ht="15">
      <c r="A60" t="s">
        <v>103</v>
      </c>
    </row>
  </sheetData>
  <printOptions/>
  <pageMargins left="0.75" right="0.75" top="1" bottom="1" header="0.5" footer="0.5"/>
  <pageSetup fitToHeight="1" fitToWidth="1" horizontalDpi="600" verticalDpi="600" orientation="landscape" scale="49" r:id="rId3"/>
  <headerFooter alignWithMargins="0">
    <oddHeader>&amp;C&amp;"Arial,Bold"&amp;16Matrix #2</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38"/>
  <sheetViews>
    <sheetView zoomScale="75" zoomScaleNormal="75" workbookViewId="0" topLeftCell="E10">
      <selection activeCell="J30" sqref="J30"/>
    </sheetView>
  </sheetViews>
  <sheetFormatPr defaultColWidth="8.88671875" defaultRowHeight="15"/>
  <cols>
    <col min="1" max="1" width="7.21484375" style="0" customWidth="1"/>
    <col min="2" max="2" width="10.5546875" style="0" customWidth="1"/>
    <col min="3" max="3" width="16.21484375" style="0" customWidth="1"/>
    <col min="4" max="5" width="11.4453125" style="0" customWidth="1"/>
    <col min="6" max="7" width="11.77734375" style="0" customWidth="1"/>
    <col min="8" max="9" width="13.99609375" style="0" customWidth="1"/>
    <col min="10" max="11" width="11.4453125" style="0" customWidth="1"/>
    <col min="12" max="12" width="11.21484375" style="0" customWidth="1"/>
    <col min="13" max="14" width="11.3359375" style="0" customWidth="1"/>
    <col min="15" max="15" width="11.99609375" style="0" customWidth="1"/>
  </cols>
  <sheetData>
    <row r="1" spans="1:3" ht="20.25">
      <c r="A1" s="8" t="s">
        <v>97</v>
      </c>
      <c r="B1" s="39"/>
      <c r="C1" s="39"/>
    </row>
    <row r="2" ht="15">
      <c r="B2" s="97">
        <v>37939</v>
      </c>
    </row>
    <row r="3" ht="15">
      <c r="B3" s="97"/>
    </row>
    <row r="4" spans="1:2" ht="15">
      <c r="A4" t="s">
        <v>167</v>
      </c>
      <c r="B4" s="97"/>
    </row>
    <row r="5" spans="1:5" ht="15.75">
      <c r="A5" s="1"/>
      <c r="E5" s="97"/>
    </row>
    <row r="6" ht="18">
      <c r="A6" s="7" t="s">
        <v>156</v>
      </c>
    </row>
    <row r="7" ht="15">
      <c r="D7" s="100" t="s">
        <v>67</v>
      </c>
    </row>
    <row r="8" spans="4:9" ht="15">
      <c r="D8" t="s">
        <v>17</v>
      </c>
      <c r="G8" t="s">
        <v>106</v>
      </c>
      <c r="I8">
        <v>0.05</v>
      </c>
    </row>
    <row r="9" spans="4:5" ht="15">
      <c r="D9" s="207">
        <v>78760</v>
      </c>
      <c r="E9" s="207">
        <v>2346240</v>
      </c>
    </row>
    <row r="10" spans="1:15" ht="15.75">
      <c r="A10" s="16"/>
      <c r="J10" s="1" t="s">
        <v>170</v>
      </c>
      <c r="K10" s="104"/>
      <c r="L10" s="235" t="s">
        <v>115</v>
      </c>
      <c r="M10" s="236"/>
      <c r="N10" s="236"/>
      <c r="O10" s="237"/>
    </row>
    <row r="11" spans="1:15" ht="15">
      <c r="A11" s="104"/>
      <c r="B11" s="3" t="s">
        <v>95</v>
      </c>
      <c r="C11" s="27" t="s">
        <v>6</v>
      </c>
      <c r="D11" s="100" t="s">
        <v>101</v>
      </c>
      <c r="E11" s="18"/>
      <c r="F11" s="100" t="s">
        <v>200</v>
      </c>
      <c r="G11" s="18"/>
      <c r="H11" s="13"/>
      <c r="I11" s="104"/>
      <c r="J11" s="99" t="s">
        <v>159</v>
      </c>
      <c r="K11" s="18"/>
      <c r="L11" s="227"/>
      <c r="M11" s="227"/>
      <c r="N11" s="227"/>
      <c r="O11" s="228"/>
    </row>
    <row r="12" spans="1:15" ht="18">
      <c r="A12" s="18" t="s">
        <v>5</v>
      </c>
      <c r="B12" s="3" t="s">
        <v>96</v>
      </c>
      <c r="C12" s="27" t="s">
        <v>108</v>
      </c>
      <c r="D12" s="101" t="s">
        <v>3</v>
      </c>
      <c r="E12" s="102" t="s">
        <v>102</v>
      </c>
      <c r="F12" s="100" t="s">
        <v>201</v>
      </c>
      <c r="G12" s="18"/>
      <c r="H12" s="99" t="s">
        <v>171</v>
      </c>
      <c r="I12" s="105"/>
      <c r="J12" s="28" t="s">
        <v>9</v>
      </c>
      <c r="K12" s="18" t="s">
        <v>10</v>
      </c>
      <c r="L12" s="226" t="s">
        <v>168</v>
      </c>
      <c r="M12" s="228"/>
      <c r="N12" s="227" t="s">
        <v>162</v>
      </c>
      <c r="O12" s="228"/>
    </row>
    <row r="13" spans="1:15" ht="15.75" thickBot="1">
      <c r="A13" s="225"/>
      <c r="B13" s="20" t="s">
        <v>11</v>
      </c>
      <c r="C13" s="95"/>
      <c r="D13" s="29" t="s">
        <v>12</v>
      </c>
      <c r="E13" s="20" t="s">
        <v>13</v>
      </c>
      <c r="F13" s="19" t="s">
        <v>12</v>
      </c>
      <c r="G13" s="20" t="s">
        <v>13</v>
      </c>
      <c r="H13" s="106" t="s">
        <v>12</v>
      </c>
      <c r="I13" s="107" t="s">
        <v>13</v>
      </c>
      <c r="J13" s="19" t="s">
        <v>12</v>
      </c>
      <c r="K13" s="20" t="s">
        <v>13</v>
      </c>
      <c r="L13" s="229" t="s">
        <v>12</v>
      </c>
      <c r="M13" s="230" t="s">
        <v>13</v>
      </c>
      <c r="N13" s="231" t="s">
        <v>12</v>
      </c>
      <c r="O13" s="230" t="s">
        <v>13</v>
      </c>
    </row>
    <row r="14" spans="1:15" ht="15.75" thickTop="1">
      <c r="A14">
        <v>2005</v>
      </c>
      <c r="B14" s="17"/>
      <c r="C14" s="30">
        <f>Matrix1a!IS35</f>
        <v>2865243.930059516</v>
      </c>
      <c r="D14" s="11">
        <v>0</v>
      </c>
      <c r="E14" s="22">
        <v>0</v>
      </c>
      <c r="F14" s="11">
        <f aca="true" t="shared" si="0" ref="F14:F29">SUM(C14+D14)</f>
        <v>2865243.930059516</v>
      </c>
      <c r="G14" s="22">
        <f aca="true" t="shared" si="1" ref="G14:G29">SUM(C14+E14)</f>
        <v>2865243.930059516</v>
      </c>
      <c r="H14" s="12"/>
      <c r="I14" s="103"/>
      <c r="J14" s="4"/>
      <c r="K14" s="23"/>
      <c r="L14" s="227"/>
      <c r="M14" s="228"/>
      <c r="N14" s="227"/>
      <c r="O14" s="228"/>
    </row>
    <row r="15" spans="1:15" ht="15">
      <c r="A15">
        <v>2006</v>
      </c>
      <c r="B15" s="17"/>
      <c r="C15" s="30">
        <f>Matrix1a!IS36</f>
        <v>3854819.0654442683</v>
      </c>
      <c r="D15" s="11">
        <v>0</v>
      </c>
      <c r="E15" s="22">
        <v>0</v>
      </c>
      <c r="F15" s="11">
        <f t="shared" si="0"/>
        <v>3854819.0654442683</v>
      </c>
      <c r="G15" s="22">
        <f t="shared" si="1"/>
        <v>3854819.0654442683</v>
      </c>
      <c r="H15" s="81"/>
      <c r="I15" s="103"/>
      <c r="J15" s="4"/>
      <c r="K15" s="23"/>
      <c r="L15" s="227"/>
      <c r="M15" s="228"/>
      <c r="N15" s="227"/>
      <c r="O15" s="228"/>
    </row>
    <row r="16" spans="1:15" ht="15">
      <c r="A16">
        <v>2007</v>
      </c>
      <c r="B16" s="96"/>
      <c r="C16" s="30">
        <f>Matrix1a!IS37</f>
        <v>4689092.262899472</v>
      </c>
      <c r="D16" s="11">
        <v>0</v>
      </c>
      <c r="E16" s="22">
        <v>0</v>
      </c>
      <c r="F16" s="11">
        <f t="shared" si="0"/>
        <v>4689092.262899472</v>
      </c>
      <c r="G16" s="22">
        <f t="shared" si="1"/>
        <v>4689092.262899472</v>
      </c>
      <c r="H16" s="12"/>
      <c r="I16" s="103"/>
      <c r="J16" s="4"/>
      <c r="K16" s="23"/>
      <c r="L16" s="227"/>
      <c r="M16" s="228"/>
      <c r="N16" s="227"/>
      <c r="O16" s="228"/>
    </row>
    <row r="17" spans="1:15" ht="15">
      <c r="A17">
        <v>2008</v>
      </c>
      <c r="B17" s="17">
        <v>0</v>
      </c>
      <c r="C17" s="78">
        <f>Matrix1a!IS38</f>
        <v>5249449.02195122</v>
      </c>
      <c r="D17" s="11">
        <f>$D$9*((1+0.05)^6)</f>
        <v>105545.932655625</v>
      </c>
      <c r="E17" s="22">
        <f>$E$9*((1+0.05)^6)</f>
        <v>3144185.99586</v>
      </c>
      <c r="F17" s="11">
        <f t="shared" si="0"/>
        <v>5354994.954606845</v>
      </c>
      <c r="G17" s="22">
        <f t="shared" si="1"/>
        <v>8393635.01781122</v>
      </c>
      <c r="H17" s="81"/>
      <c r="I17" s="47"/>
      <c r="J17" s="108" t="s">
        <v>169</v>
      </c>
      <c r="K17" s="23"/>
      <c r="L17" s="137">
        <v>198200</v>
      </c>
      <c r="M17" s="138">
        <v>5145153</v>
      </c>
      <c r="N17" s="137">
        <f>H17+L17</f>
        <v>198200</v>
      </c>
      <c r="O17" s="138">
        <f aca="true" t="shared" si="2" ref="O17:O29">I17+M17</f>
        <v>5145153</v>
      </c>
    </row>
    <row r="18" spans="1:15" ht="15">
      <c r="A18">
        <v>2009</v>
      </c>
      <c r="B18" s="17">
        <v>213.89</v>
      </c>
      <c r="C18" s="78">
        <f>Matrix1a!IS39</f>
        <v>5653914.3702208465</v>
      </c>
      <c r="D18" s="11"/>
      <c r="E18" s="22"/>
      <c r="F18" s="11">
        <f t="shared" si="0"/>
        <v>5653914.3702208465</v>
      </c>
      <c r="G18" s="22">
        <f t="shared" si="1"/>
        <v>5653914.3702208465</v>
      </c>
      <c r="H18" s="81">
        <f aca="true" t="shared" si="3" ref="H18:H29">($F$17*((1+$I$8)^1))*(($I$8*(1+$I$8)^12)/(((1+$I$8)^12)-1))+($F$16*((1+$I$8)^2))*(($I$8*(1+$I$8)^12)/(((1+$I$8)^12)-1))+($F$15*((1+$I$8)^3))*(($I$8*(1+$I$8)^12)/(((1+$I$8)^12)-1))+($F$14*((1+$I$8)^4))*(($I$8*(1+$I$8)^12)/(((1+$I$8)^12)-1))+F18</f>
        <v>7767994.678008225</v>
      </c>
      <c r="I18" s="47">
        <f aca="true" t="shared" si="4" ref="I18:I29">($G$17*((1+$I$8)^1))*(($I$8*(1+$I$8)^12)/(((1+$I$8)^12)-1))+($G$16*((1+$I$8)^2))*(($I$8*(1+$I$8)^12)/(((1+$I$8)^12)-1))+($G$15*((1+$I$8)^3))*(($I$8*(1+$I$8)^12)/(((1+$I$8)^12)-1))+($G$14*((1+$I$8)^4))*(($I$8*(1+$I$8)^12)/(((1+$I$8)^12)-1))+G18</f>
        <v>8127972.27959677</v>
      </c>
      <c r="J18" s="14">
        <f aca="true" t="shared" si="5" ref="J18:J29">H18/(B18*2000)</f>
        <v>18.15885426623083</v>
      </c>
      <c r="K18" s="24">
        <f aca="true" t="shared" si="6" ref="K18:K29">I18/(B18*2000)</f>
        <v>19.000355976428935</v>
      </c>
      <c r="L18" s="137">
        <v>198200</v>
      </c>
      <c r="M18" s="138">
        <v>5145153</v>
      </c>
      <c r="N18" s="137">
        <f aca="true" t="shared" si="7" ref="N18:N29">H18+L18</f>
        <v>7966194.678008225</v>
      </c>
      <c r="O18" s="138">
        <f t="shared" si="2"/>
        <v>13273125.27959677</v>
      </c>
    </row>
    <row r="19" spans="1:15" ht="15">
      <c r="A19">
        <v>2010</v>
      </c>
      <c r="B19" s="17">
        <v>219</v>
      </c>
      <c r="C19" s="78">
        <f>Matrix1a!IS40</f>
        <v>5859045.926826538</v>
      </c>
      <c r="D19" s="11"/>
      <c r="E19" s="22"/>
      <c r="F19" s="11">
        <f t="shared" si="0"/>
        <v>5859045.926826538</v>
      </c>
      <c r="G19" s="22">
        <f t="shared" si="1"/>
        <v>5859045.926826538</v>
      </c>
      <c r="H19" s="81">
        <f t="shared" si="3"/>
        <v>7973126.234613916</v>
      </c>
      <c r="I19" s="47">
        <f t="shared" si="4"/>
        <v>8333103.836202461</v>
      </c>
      <c r="J19" s="14">
        <f t="shared" si="5"/>
        <v>18.20348455391305</v>
      </c>
      <c r="K19" s="24">
        <f t="shared" si="6"/>
        <v>19.02535122420653</v>
      </c>
      <c r="L19" s="137">
        <v>198200</v>
      </c>
      <c r="M19" s="138">
        <v>5145153</v>
      </c>
      <c r="N19" s="137">
        <f t="shared" si="7"/>
        <v>8171326.234613916</v>
      </c>
      <c r="O19" s="138">
        <f t="shared" si="2"/>
        <v>13478256.836202461</v>
      </c>
    </row>
    <row r="20" spans="1:15" ht="15">
      <c r="A20">
        <v>2011</v>
      </c>
      <c r="B20" s="17">
        <v>253.675</v>
      </c>
      <c r="C20" s="78">
        <f>Matrix1a!IS41</f>
        <v>6056496.235436304</v>
      </c>
      <c r="D20" s="11"/>
      <c r="E20" s="22"/>
      <c r="F20" s="11">
        <f t="shared" si="0"/>
        <v>6056496.235436304</v>
      </c>
      <c r="G20" s="22">
        <f t="shared" si="1"/>
        <v>6056496.235436304</v>
      </c>
      <c r="H20" s="81">
        <f t="shared" si="3"/>
        <v>8170576.543223682</v>
      </c>
      <c r="I20" s="47">
        <f t="shared" si="4"/>
        <v>8530554.144812226</v>
      </c>
      <c r="J20" s="14">
        <f t="shared" si="5"/>
        <v>16.104418139792415</v>
      </c>
      <c r="K20" s="24">
        <f t="shared" si="6"/>
        <v>16.813943322779593</v>
      </c>
      <c r="L20" s="137">
        <v>198200</v>
      </c>
      <c r="M20" s="138">
        <v>5145153</v>
      </c>
      <c r="N20" s="137">
        <f t="shared" si="7"/>
        <v>8368776.543223682</v>
      </c>
      <c r="O20" s="138">
        <f t="shared" si="2"/>
        <v>13675707.144812226</v>
      </c>
    </row>
    <row r="21" spans="1:15" ht="15">
      <c r="A21">
        <v>2012</v>
      </c>
      <c r="B21" s="17">
        <v>269.735</v>
      </c>
      <c r="C21" s="78">
        <f>Matrix1a!IS42</f>
        <v>6246883.090363521</v>
      </c>
      <c r="D21" s="11"/>
      <c r="E21" s="22"/>
      <c r="F21" s="11">
        <f t="shared" si="0"/>
        <v>6246883.090363521</v>
      </c>
      <c r="G21" s="22">
        <f t="shared" si="1"/>
        <v>6246883.090363521</v>
      </c>
      <c r="H21" s="81">
        <f t="shared" si="3"/>
        <v>8360963.398150899</v>
      </c>
      <c r="I21" s="47">
        <f t="shared" si="4"/>
        <v>8720940.999739446</v>
      </c>
      <c r="J21" s="14">
        <f t="shared" si="5"/>
        <v>15.498477020317903</v>
      </c>
      <c r="K21" s="24">
        <f t="shared" si="6"/>
        <v>16.165757131516944</v>
      </c>
      <c r="L21" s="137">
        <v>198200</v>
      </c>
      <c r="M21" s="138">
        <v>5145153</v>
      </c>
      <c r="N21" s="137">
        <f t="shared" si="7"/>
        <v>8559163.398150899</v>
      </c>
      <c r="O21" s="138">
        <f t="shared" si="2"/>
        <v>13866093.999739446</v>
      </c>
    </row>
    <row r="22" spans="1:15" ht="15">
      <c r="A22">
        <v>2013</v>
      </c>
      <c r="B22" s="17">
        <v>279.225</v>
      </c>
      <c r="C22" s="78">
        <f>Matrix1a!IS43</f>
        <v>6430299.722572406</v>
      </c>
      <c r="D22" s="11"/>
      <c r="E22" s="22"/>
      <c r="F22" s="11">
        <f t="shared" si="0"/>
        <v>6430299.722572406</v>
      </c>
      <c r="G22" s="22">
        <f t="shared" si="1"/>
        <v>6430299.722572406</v>
      </c>
      <c r="H22" s="81">
        <f t="shared" si="3"/>
        <v>8544380.030359784</v>
      </c>
      <c r="I22" s="47">
        <f t="shared" si="4"/>
        <v>8904357.63194833</v>
      </c>
      <c r="J22" s="14">
        <f t="shared" si="5"/>
        <v>15.300170168071956</v>
      </c>
      <c r="K22" s="24">
        <f t="shared" si="6"/>
        <v>15.94477147810606</v>
      </c>
      <c r="L22" s="137">
        <v>198200</v>
      </c>
      <c r="M22" s="138">
        <v>5145153</v>
      </c>
      <c r="N22" s="137">
        <f t="shared" si="7"/>
        <v>8742580.030359784</v>
      </c>
      <c r="O22" s="138">
        <f t="shared" si="2"/>
        <v>14049510.63194833</v>
      </c>
    </row>
    <row r="23" spans="1:15" ht="15">
      <c r="A23">
        <v>2014</v>
      </c>
      <c r="B23" s="17">
        <v>286.89</v>
      </c>
      <c r="C23" s="78">
        <f>Matrix1a!IS44</f>
        <v>6607782.999147212</v>
      </c>
      <c r="D23" s="11"/>
      <c r="E23" s="22"/>
      <c r="F23" s="11">
        <f t="shared" si="0"/>
        <v>6607782.999147212</v>
      </c>
      <c r="G23" s="22">
        <f t="shared" si="1"/>
        <v>6607782.999147212</v>
      </c>
      <c r="H23" s="81">
        <f t="shared" si="3"/>
        <v>8721863.306934591</v>
      </c>
      <c r="I23" s="47">
        <f t="shared" si="4"/>
        <v>9081840.908523135</v>
      </c>
      <c r="J23" s="14">
        <f t="shared" si="5"/>
        <v>15.200709866036794</v>
      </c>
      <c r="K23" s="24">
        <f t="shared" si="6"/>
        <v>15.828089003665403</v>
      </c>
      <c r="L23" s="137">
        <v>198200</v>
      </c>
      <c r="M23" s="138">
        <v>5145153</v>
      </c>
      <c r="N23" s="137">
        <f t="shared" si="7"/>
        <v>8920063.306934591</v>
      </c>
      <c r="O23" s="138">
        <f t="shared" si="2"/>
        <v>14226993.908523135</v>
      </c>
    </row>
    <row r="24" spans="1:15" ht="15">
      <c r="A24">
        <v>2015</v>
      </c>
      <c r="B24" s="17">
        <v>296.015</v>
      </c>
      <c r="C24" s="78">
        <f>Matrix1a!IS45</f>
        <v>4724484.104727938</v>
      </c>
      <c r="D24" s="11"/>
      <c r="E24" s="22"/>
      <c r="F24" s="11">
        <f t="shared" si="0"/>
        <v>4724484.104727938</v>
      </c>
      <c r="G24" s="22">
        <f t="shared" si="1"/>
        <v>4724484.104727938</v>
      </c>
      <c r="H24" s="81">
        <f t="shared" si="3"/>
        <v>6838564.412515316</v>
      </c>
      <c r="I24" s="47">
        <f t="shared" si="4"/>
        <v>7198542.0141038615</v>
      </c>
      <c r="J24" s="14">
        <f t="shared" si="5"/>
        <v>11.551043718249609</v>
      </c>
      <c r="K24" s="24">
        <f t="shared" si="6"/>
        <v>12.159083178392754</v>
      </c>
      <c r="L24" s="137">
        <v>198200</v>
      </c>
      <c r="M24" s="138">
        <v>5145153</v>
      </c>
      <c r="N24" s="137">
        <f t="shared" si="7"/>
        <v>7036764.412515316</v>
      </c>
      <c r="O24" s="138">
        <f t="shared" si="2"/>
        <v>12343695.014103862</v>
      </c>
    </row>
    <row r="25" spans="1:15" ht="15">
      <c r="A25">
        <v>2016</v>
      </c>
      <c r="B25" s="17">
        <v>293.825</v>
      </c>
      <c r="C25" s="78">
        <f>Matrix1a!IS46</f>
        <v>4336061.598002076</v>
      </c>
      <c r="D25" s="11"/>
      <c r="E25" s="22"/>
      <c r="F25" s="11">
        <f t="shared" si="0"/>
        <v>4336061.598002076</v>
      </c>
      <c r="G25" s="22">
        <f t="shared" si="1"/>
        <v>4336061.598002076</v>
      </c>
      <c r="H25" s="81">
        <f t="shared" si="3"/>
        <v>6450141.9057894545</v>
      </c>
      <c r="I25" s="47">
        <f t="shared" si="4"/>
        <v>6810119.507378</v>
      </c>
      <c r="J25" s="14">
        <f t="shared" si="5"/>
        <v>10.976162521551016</v>
      </c>
      <c r="K25" s="24">
        <f t="shared" si="6"/>
        <v>11.588733952825661</v>
      </c>
      <c r="L25" s="137">
        <v>198200</v>
      </c>
      <c r="M25" s="138">
        <v>5145153</v>
      </c>
      <c r="N25" s="137">
        <f t="shared" si="7"/>
        <v>6648341.9057894545</v>
      </c>
      <c r="O25" s="138">
        <f t="shared" si="2"/>
        <v>11955272.507378</v>
      </c>
    </row>
    <row r="26" spans="1:17" ht="15">
      <c r="A26">
        <v>2017</v>
      </c>
      <c r="B26" s="17">
        <v>242.36</v>
      </c>
      <c r="C26" s="78">
        <f>Matrix1a!IS47</f>
        <v>4083321.5327349952</v>
      </c>
      <c r="D26" s="11"/>
      <c r="E26" s="22"/>
      <c r="F26" s="11">
        <f t="shared" si="0"/>
        <v>4083321.5327349952</v>
      </c>
      <c r="G26" s="22">
        <f t="shared" si="1"/>
        <v>4083321.5327349952</v>
      </c>
      <c r="H26" s="81">
        <f t="shared" si="3"/>
        <v>6197401.840522373</v>
      </c>
      <c r="I26" s="47">
        <f t="shared" si="4"/>
        <v>6557379.442110918</v>
      </c>
      <c r="J26" s="14">
        <f t="shared" si="5"/>
        <v>12.78552946138466</v>
      </c>
      <c r="K26" s="24">
        <f t="shared" si="6"/>
        <v>13.528180067071544</v>
      </c>
      <c r="L26" s="137">
        <v>198200</v>
      </c>
      <c r="M26" s="138">
        <v>5145153</v>
      </c>
      <c r="N26" s="137">
        <f t="shared" si="7"/>
        <v>6395601.840522373</v>
      </c>
      <c r="O26" s="138">
        <f t="shared" si="2"/>
        <v>11702532.442110918</v>
      </c>
      <c r="Q26" s="9"/>
    </row>
    <row r="27" spans="1:15" ht="15">
      <c r="A27">
        <v>2018</v>
      </c>
      <c r="B27" s="17">
        <v>222.65</v>
      </c>
      <c r="C27" s="78">
        <f>Matrix1a!IS48</f>
        <v>4039499.015166129</v>
      </c>
      <c r="D27" s="11"/>
      <c r="E27" s="22"/>
      <c r="F27" s="11">
        <f t="shared" si="0"/>
        <v>4039499.015166129</v>
      </c>
      <c r="G27" s="22">
        <f t="shared" si="1"/>
        <v>4039499.015166129</v>
      </c>
      <c r="H27" s="81">
        <f t="shared" si="3"/>
        <v>6153579.322953507</v>
      </c>
      <c r="I27" s="47">
        <f t="shared" si="4"/>
        <v>6513556.924542053</v>
      </c>
      <c r="J27" s="14">
        <f t="shared" si="5"/>
        <v>13.818951994056832</v>
      </c>
      <c r="K27" s="24">
        <f t="shared" si="6"/>
        <v>14.627345440247142</v>
      </c>
      <c r="L27" s="137">
        <v>198200</v>
      </c>
      <c r="M27" s="138">
        <v>5145153</v>
      </c>
      <c r="N27" s="137">
        <f t="shared" si="7"/>
        <v>6351779.322953507</v>
      </c>
      <c r="O27" s="138">
        <f t="shared" si="2"/>
        <v>11658709.924542053</v>
      </c>
    </row>
    <row r="28" spans="1:15" ht="15">
      <c r="A28">
        <v>2019</v>
      </c>
      <c r="B28" s="17">
        <v>204.035</v>
      </c>
      <c r="C28" s="78">
        <f>Matrix1a!IS49</f>
        <v>3942927.0830044523</v>
      </c>
      <c r="D28" s="11"/>
      <c r="E28" s="22"/>
      <c r="F28" s="11">
        <f t="shared" si="0"/>
        <v>3942927.0830044523</v>
      </c>
      <c r="G28" s="22">
        <f t="shared" si="1"/>
        <v>3942927.0830044523</v>
      </c>
      <c r="H28" s="81">
        <f t="shared" si="3"/>
        <v>6057007.390791831</v>
      </c>
      <c r="I28" s="47">
        <f t="shared" si="4"/>
        <v>6416984.992380376</v>
      </c>
      <c r="J28" s="14">
        <f t="shared" si="5"/>
        <v>14.84305974659208</v>
      </c>
      <c r="K28" s="24">
        <f t="shared" si="6"/>
        <v>15.72520644100369</v>
      </c>
      <c r="L28" s="137">
        <v>198200</v>
      </c>
      <c r="M28" s="138">
        <v>5145153</v>
      </c>
      <c r="N28" s="137">
        <f t="shared" si="7"/>
        <v>6255207.390791831</v>
      </c>
      <c r="O28" s="138">
        <f t="shared" si="2"/>
        <v>11562137.992380377</v>
      </c>
    </row>
    <row r="29" spans="1:15" ht="15.75" thickBot="1">
      <c r="A29">
        <v>2020</v>
      </c>
      <c r="B29" s="17">
        <v>191.625</v>
      </c>
      <c r="C29" s="78">
        <f>Matrix1a!IS50</f>
        <v>3524431.692915137</v>
      </c>
      <c r="D29" s="11"/>
      <c r="E29" s="22"/>
      <c r="F29" s="11">
        <f t="shared" si="0"/>
        <v>3524431.692915137</v>
      </c>
      <c r="G29" s="22">
        <f t="shared" si="1"/>
        <v>3524431.692915137</v>
      </c>
      <c r="H29" s="81">
        <f t="shared" si="3"/>
        <v>5638512.000702515</v>
      </c>
      <c r="I29" s="47">
        <f t="shared" si="4"/>
        <v>5998489.602291061</v>
      </c>
      <c r="J29" s="14">
        <f t="shared" si="5"/>
        <v>14.712360080110933</v>
      </c>
      <c r="K29" s="24">
        <f t="shared" si="6"/>
        <v>15.651636274732056</v>
      </c>
      <c r="L29" s="137">
        <v>198200</v>
      </c>
      <c r="M29" s="138">
        <v>5145153</v>
      </c>
      <c r="N29" s="232">
        <f t="shared" si="7"/>
        <v>5836712.000702515</v>
      </c>
      <c r="O29" s="233">
        <f t="shared" si="2"/>
        <v>11143642.60229106</v>
      </c>
    </row>
    <row r="30" spans="2:15" ht="18.75" thickTop="1">
      <c r="B30" s="25">
        <f>SUM(B17:B29)</f>
        <v>2972.9249999999997</v>
      </c>
      <c r="C30" s="12"/>
      <c r="D30" s="11"/>
      <c r="E30" s="11"/>
      <c r="F30" s="11"/>
      <c r="G30" s="11" t="s">
        <v>112</v>
      </c>
      <c r="H30" s="81">
        <f>SUM(H18:H29)</f>
        <v>86874111.06456609</v>
      </c>
      <c r="I30" s="11">
        <f>SUM(I18:I29)</f>
        <v>91193842.28362864</v>
      </c>
      <c r="J30" s="209">
        <f>MIN(J18:J29)</f>
        <v>10.976162521551016</v>
      </c>
      <c r="K30" s="209">
        <f>MAX(K18:K29)</f>
        <v>19.02535122420653</v>
      </c>
      <c r="L30" s="137">
        <f>SUM(L17:L29)</f>
        <v>2576600</v>
      </c>
      <c r="M30" s="137">
        <f>SUM(M17:M29)</f>
        <v>66886989</v>
      </c>
      <c r="N30" s="222">
        <f>SUM(N17:N29)</f>
        <v>89450711.06456609</v>
      </c>
      <c r="O30" s="222">
        <f>SUM(O17:O29)</f>
        <v>158080831.2836286</v>
      </c>
    </row>
    <row r="31" spans="2:15" ht="18.75" thickBot="1">
      <c r="B31" s="25"/>
      <c r="C31" s="12"/>
      <c r="D31" s="11"/>
      <c r="E31" s="61" t="s">
        <v>150</v>
      </c>
      <c r="F31" s="61">
        <f>SUM(F14:F29)</f>
        <v>78269297.58412766</v>
      </c>
      <c r="G31" s="61">
        <f>SUM(G14:G29)</f>
        <v>81307937.64733204</v>
      </c>
      <c r="H31" s="11"/>
      <c r="I31" s="11"/>
      <c r="J31" s="234" t="s">
        <v>151</v>
      </c>
      <c r="K31" s="234" t="s">
        <v>152</v>
      </c>
      <c r="L31" s="227"/>
      <c r="M31" s="227"/>
      <c r="N31" s="227" t="s">
        <v>114</v>
      </c>
      <c r="O31" s="227"/>
    </row>
    <row r="32" spans="2:11" ht="18">
      <c r="B32" s="25"/>
      <c r="C32" s="12"/>
      <c r="D32" s="11"/>
      <c r="E32" s="11"/>
      <c r="F32" s="11"/>
      <c r="G32" s="11"/>
      <c r="H32" s="11"/>
      <c r="I32" s="11"/>
      <c r="J32" s="26"/>
      <c r="K32" s="116"/>
    </row>
    <row r="33" spans="1:9" ht="18">
      <c r="A33" s="54" t="s">
        <v>197</v>
      </c>
      <c r="C33" s="5"/>
      <c r="D33" s="5"/>
      <c r="E33" s="5"/>
      <c r="F33" s="5"/>
      <c r="G33" s="5"/>
      <c r="H33" s="5"/>
      <c r="I33" s="5"/>
    </row>
    <row r="34" spans="1:9" ht="15">
      <c r="A34" t="s">
        <v>105</v>
      </c>
      <c r="C34" s="5"/>
      <c r="D34" s="5"/>
      <c r="E34" s="5"/>
      <c r="F34" s="5"/>
      <c r="G34" s="5"/>
      <c r="H34" s="5"/>
      <c r="I34" s="5"/>
    </row>
    <row r="35" spans="1:9" ht="15">
      <c r="A35" t="s">
        <v>103</v>
      </c>
      <c r="C35" s="5"/>
      <c r="D35" s="5"/>
      <c r="E35" s="5"/>
      <c r="F35" s="5"/>
      <c r="G35" s="5"/>
      <c r="H35" s="5"/>
      <c r="I35" s="5"/>
    </row>
    <row r="38" spans="5:7" ht="15.75">
      <c r="E38" s="61"/>
      <c r="F38" s="61"/>
      <c r="G38" s="61"/>
    </row>
  </sheetData>
  <printOptions/>
  <pageMargins left="0.75" right="0.75" top="1" bottom="1" header="0.5" footer="0.5"/>
  <pageSetup fitToHeight="1" fitToWidth="1" horizontalDpi="600" verticalDpi="600" orientation="landscape" scale="54" r:id="rId3"/>
  <headerFooter alignWithMargins="0">
    <oddHeader>&amp;C&amp;"Arial,Bold"&amp;16Matrix #2a</oddHeader>
    <oddFooter>&amp;CPage &amp;P of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O41"/>
  <sheetViews>
    <sheetView tabSelected="1" zoomScale="75" zoomScaleNormal="75" workbookViewId="0" topLeftCell="A4">
      <selection activeCell="E18" sqref="E18"/>
    </sheetView>
  </sheetViews>
  <sheetFormatPr defaultColWidth="8.88671875" defaultRowHeight="15"/>
  <cols>
    <col min="1" max="1" width="10.99609375" style="0" customWidth="1"/>
    <col min="2" max="2" width="13.6640625" style="0" customWidth="1"/>
    <col min="3" max="3" width="14.88671875" style="0" customWidth="1"/>
    <col min="4" max="5" width="16.21484375" style="0" customWidth="1"/>
    <col min="6" max="7" width="14.88671875" style="0" customWidth="1"/>
    <col min="8" max="9" width="13.3359375" style="0" customWidth="1"/>
    <col min="10" max="10" width="13.4453125" style="0" customWidth="1"/>
    <col min="11" max="11" width="16.10546875" style="0" customWidth="1"/>
    <col min="12" max="12" width="13.77734375" style="0" customWidth="1"/>
    <col min="13" max="13" width="12.6640625" style="0" customWidth="1"/>
    <col min="14" max="14" width="12.21484375" style="0" customWidth="1"/>
    <col min="15" max="15" width="11.6640625" style="0" customWidth="1"/>
    <col min="16" max="16" width="9.99609375" style="0" customWidth="1"/>
    <col min="17" max="17" width="11.5546875" style="0" customWidth="1"/>
  </cols>
  <sheetData>
    <row r="3" ht="15">
      <c r="A3" s="34">
        <v>37938</v>
      </c>
    </row>
    <row r="4" ht="15">
      <c r="A4" s="34"/>
    </row>
    <row r="5" spans="1:6" ht="15.75">
      <c r="A5" s="243" t="s">
        <v>179</v>
      </c>
      <c r="B5" s="243"/>
      <c r="C5" s="243"/>
      <c r="D5" s="243"/>
      <c r="E5" s="243"/>
      <c r="F5" s="243"/>
    </row>
    <row r="6" spans="1:6" ht="15.75">
      <c r="A6" s="239"/>
      <c r="B6" s="239"/>
      <c r="C6" s="239"/>
      <c r="D6" s="239"/>
      <c r="E6" s="239"/>
      <c r="F6" s="239"/>
    </row>
    <row r="7" spans="1:6" ht="15.75">
      <c r="A7" t="s">
        <v>183</v>
      </c>
      <c r="B7" s="6"/>
      <c r="C7" s="6"/>
      <c r="D7" s="6"/>
      <c r="E7" s="6"/>
      <c r="F7" s="6"/>
    </row>
    <row r="8" spans="1:6" ht="15.75">
      <c r="A8" t="s">
        <v>192</v>
      </c>
      <c r="B8" s="6"/>
      <c r="C8" s="6"/>
      <c r="D8" s="6"/>
      <c r="E8" s="6"/>
      <c r="F8" s="6"/>
    </row>
    <row r="9" spans="8:10" ht="15.75">
      <c r="H9" s="6"/>
      <c r="I9" s="6"/>
      <c r="J9" s="6"/>
    </row>
    <row r="11" ht="15">
      <c r="E11" t="s">
        <v>67</v>
      </c>
    </row>
    <row r="12" ht="15">
      <c r="E12" t="s">
        <v>17</v>
      </c>
    </row>
    <row r="13" spans="1:6" ht="15.75">
      <c r="A13" s="2"/>
      <c r="E13" s="33">
        <v>78760</v>
      </c>
      <c r="F13" s="33">
        <v>2346240</v>
      </c>
    </row>
    <row r="14" spans="1:15" ht="15.75">
      <c r="A14" s="16"/>
      <c r="H14" s="1" t="s">
        <v>187</v>
      </c>
      <c r="O14" s="1"/>
    </row>
    <row r="15" spans="1:13" ht="15">
      <c r="A15" s="104"/>
      <c r="B15" s="27" t="s">
        <v>174</v>
      </c>
      <c r="C15" s="28" t="s">
        <v>6</v>
      </c>
      <c r="D15" s="3" t="s">
        <v>185</v>
      </c>
      <c r="E15" s="3" t="s">
        <v>185</v>
      </c>
      <c r="F15" s="3" t="s">
        <v>186</v>
      </c>
      <c r="G15" s="18" t="s">
        <v>186</v>
      </c>
      <c r="H15" s="28" t="s">
        <v>8</v>
      </c>
      <c r="I15" s="18" t="s">
        <v>8</v>
      </c>
      <c r="L15" s="111"/>
      <c r="M15" s="112"/>
    </row>
    <row r="16" spans="1:13" ht="15">
      <c r="A16" s="18" t="s">
        <v>5</v>
      </c>
      <c r="B16" s="27" t="s">
        <v>194</v>
      </c>
      <c r="C16" s="28" t="s">
        <v>3</v>
      </c>
      <c r="D16" s="3" t="s">
        <v>3</v>
      </c>
      <c r="E16" s="3" t="s">
        <v>3</v>
      </c>
      <c r="F16" s="3" t="s">
        <v>3</v>
      </c>
      <c r="G16" s="18" t="s">
        <v>3</v>
      </c>
      <c r="H16" s="28" t="s">
        <v>9</v>
      </c>
      <c r="I16" s="18" t="s">
        <v>10</v>
      </c>
      <c r="L16" s="113"/>
      <c r="M16" s="113"/>
    </row>
    <row r="17" spans="1:13" ht="15.75" thickBot="1">
      <c r="A17" s="225"/>
      <c r="B17" s="95" t="s">
        <v>4</v>
      </c>
      <c r="C17" s="95" t="s">
        <v>180</v>
      </c>
      <c r="D17" s="19" t="s">
        <v>12</v>
      </c>
      <c r="E17" s="20" t="s">
        <v>13</v>
      </c>
      <c r="F17" s="19" t="s">
        <v>12</v>
      </c>
      <c r="G17" s="20" t="s">
        <v>13</v>
      </c>
      <c r="H17" s="19" t="s">
        <v>12</v>
      </c>
      <c r="I17" s="20" t="s">
        <v>13</v>
      </c>
      <c r="L17" s="114"/>
      <c r="M17" s="114"/>
    </row>
    <row r="18" spans="1:13" ht="15.75" thickTop="1">
      <c r="A18" s="104">
        <v>2008</v>
      </c>
      <c r="B18" s="17">
        <v>2.272</v>
      </c>
      <c r="C18" s="30">
        <f>'Matrix 1'!GS101</f>
        <v>35451523.42846425</v>
      </c>
      <c r="D18" s="11">
        <f>$E$13*((1+0.05)^6)</f>
        <v>105545.932655625</v>
      </c>
      <c r="E18" s="22">
        <f>$F$13*((1+0.05)^6)</f>
        <v>3144185.99586</v>
      </c>
      <c r="F18" s="11">
        <f aca="true" t="shared" si="0" ref="F18:F30">SUM(C18+D18)</f>
        <v>35557069.361119874</v>
      </c>
      <c r="G18" s="22">
        <f aca="true" t="shared" si="1" ref="G18:G30">SUM(C18+E18)</f>
        <v>38595709.42432425</v>
      </c>
      <c r="H18" s="14">
        <f aca="true" t="shared" si="2" ref="H18:H30">F18/(B18*0.5*2000*365)</f>
        <v>42.87703714200255</v>
      </c>
      <c r="I18" s="24">
        <f aca="true" t="shared" si="3" ref="I18:I30">G18/(B18*0.5*2000*365)</f>
        <v>46.54122784140972</v>
      </c>
      <c r="L18" s="115"/>
      <c r="M18" s="115"/>
    </row>
    <row r="19" spans="1:13" ht="15">
      <c r="A19" s="104">
        <v>2009</v>
      </c>
      <c r="B19" s="17">
        <v>2.211</v>
      </c>
      <c r="C19" s="30">
        <f>'Matrix 1'!GS102</f>
        <v>38152050.51154673</v>
      </c>
      <c r="D19" s="21"/>
      <c r="E19" s="22"/>
      <c r="F19" s="11">
        <f t="shared" si="0"/>
        <v>38152050.51154673</v>
      </c>
      <c r="G19" s="22">
        <f t="shared" si="1"/>
        <v>38152050.51154673</v>
      </c>
      <c r="H19" s="14">
        <f t="shared" si="2"/>
        <v>47.27551595886908</v>
      </c>
      <c r="I19" s="24">
        <f t="shared" si="3"/>
        <v>47.27551595886908</v>
      </c>
      <c r="L19" s="115"/>
      <c r="M19" s="115"/>
    </row>
    <row r="20" spans="1:13" ht="15">
      <c r="A20" s="104">
        <v>2010</v>
      </c>
      <c r="B20" s="17">
        <v>2.143</v>
      </c>
      <c r="C20" s="30">
        <f>'Matrix 1'!GS103</f>
        <v>40726387.14957467</v>
      </c>
      <c r="D20" s="21"/>
      <c r="E20" s="22"/>
      <c r="F20" s="11">
        <f t="shared" si="0"/>
        <v>40726387.14957467</v>
      </c>
      <c r="G20" s="22">
        <f t="shared" si="1"/>
        <v>40726387.14957467</v>
      </c>
      <c r="H20" s="14">
        <f t="shared" si="2"/>
        <v>52.06679555555158</v>
      </c>
      <c r="I20" s="24">
        <f t="shared" si="3"/>
        <v>52.06679555555158</v>
      </c>
      <c r="L20" s="115"/>
      <c r="M20" s="115"/>
    </row>
    <row r="21" spans="1:13" ht="15">
      <c r="A21" s="104">
        <v>2011</v>
      </c>
      <c r="B21" s="17">
        <v>2.07</v>
      </c>
      <c r="C21" s="30">
        <f>'Matrix 1'!GS104</f>
        <v>43178545.5263889</v>
      </c>
      <c r="D21" s="21"/>
      <c r="E21" s="22"/>
      <c r="F21" s="11">
        <f t="shared" si="0"/>
        <v>43178545.5263889</v>
      </c>
      <c r="G21" s="22">
        <f t="shared" si="1"/>
        <v>43178545.5263889</v>
      </c>
      <c r="H21" s="14">
        <f t="shared" si="2"/>
        <v>57.148495170920384</v>
      </c>
      <c r="I21" s="24">
        <f t="shared" si="3"/>
        <v>57.148495170920384</v>
      </c>
      <c r="L21" s="115"/>
      <c r="M21" s="115"/>
    </row>
    <row r="22" spans="1:13" ht="15">
      <c r="A22" s="104">
        <v>2012</v>
      </c>
      <c r="B22" s="17">
        <v>1.99</v>
      </c>
      <c r="C22" s="30">
        <f>'Matrix 1'!GS105</f>
        <v>45513700.629408166</v>
      </c>
      <c r="D22" s="21"/>
      <c r="E22" s="22"/>
      <c r="F22" s="11">
        <f t="shared" si="0"/>
        <v>45513700.629408166</v>
      </c>
      <c r="G22" s="22">
        <f t="shared" si="1"/>
        <v>45513700.629408166</v>
      </c>
      <c r="H22" s="14">
        <f t="shared" si="2"/>
        <v>62.66083930530483</v>
      </c>
      <c r="I22" s="24">
        <f t="shared" si="3"/>
        <v>62.66083930530483</v>
      </c>
      <c r="L22" s="115"/>
      <c r="M22" s="115"/>
    </row>
    <row r="23" spans="1:13" ht="15">
      <c r="A23" s="104">
        <v>2013</v>
      </c>
      <c r="B23" s="17">
        <v>1.834</v>
      </c>
      <c r="C23" s="30">
        <f>'Matrix 1'!GS106</f>
        <v>47736395.945375666</v>
      </c>
      <c r="D23" s="21"/>
      <c r="E23" s="22"/>
      <c r="F23" s="11">
        <f t="shared" si="0"/>
        <v>47736395.945375666</v>
      </c>
      <c r="G23" s="22">
        <f t="shared" si="1"/>
        <v>47736395.945375666</v>
      </c>
      <c r="H23" s="14">
        <f t="shared" si="2"/>
        <v>71.31114854181394</v>
      </c>
      <c r="I23" s="24">
        <f t="shared" si="3"/>
        <v>71.31114854181394</v>
      </c>
      <c r="L23" s="115"/>
      <c r="M23" s="115"/>
    </row>
    <row r="24" spans="1:13" ht="15">
      <c r="A24" s="104">
        <v>2014</v>
      </c>
      <c r="B24" s="17">
        <v>1.678</v>
      </c>
      <c r="C24" s="30">
        <f>'Matrix 1'!GS107</f>
        <v>49856288.55862978</v>
      </c>
      <c r="D24" s="21"/>
      <c r="E24" s="22"/>
      <c r="F24" s="11">
        <f t="shared" si="0"/>
        <v>49856288.55862978</v>
      </c>
      <c r="G24" s="22">
        <f t="shared" si="1"/>
        <v>49856288.55862978</v>
      </c>
      <c r="H24" s="14">
        <f t="shared" si="2"/>
        <v>81.40200917372243</v>
      </c>
      <c r="I24" s="24">
        <f t="shared" si="3"/>
        <v>81.40200917372243</v>
      </c>
      <c r="L24" s="115"/>
      <c r="M24" s="115"/>
    </row>
    <row r="25" spans="1:13" ht="15">
      <c r="A25" s="104">
        <v>2015</v>
      </c>
      <c r="B25" s="17">
        <v>1.521</v>
      </c>
      <c r="C25" s="30">
        <f>'Matrix 1'!GS108</f>
        <v>51874762.59739534</v>
      </c>
      <c r="D25" s="21"/>
      <c r="E25" s="22"/>
      <c r="F25" s="11">
        <f t="shared" si="0"/>
        <v>51874762.59739534</v>
      </c>
      <c r="G25" s="22">
        <f t="shared" si="1"/>
        <v>51874762.59739534</v>
      </c>
      <c r="H25" s="14">
        <f t="shared" si="2"/>
        <v>93.4402611789204</v>
      </c>
      <c r="I25" s="24">
        <f t="shared" si="3"/>
        <v>93.4402611789204</v>
      </c>
      <c r="L25" s="115"/>
      <c r="M25" s="115"/>
    </row>
    <row r="26" spans="1:13" ht="15">
      <c r="A26" s="104">
        <v>2016</v>
      </c>
      <c r="B26" s="17">
        <v>1.36</v>
      </c>
      <c r="C26" s="30">
        <f>'Matrix 1'!GS109</f>
        <v>53799555.515029</v>
      </c>
      <c r="D26" s="21"/>
      <c r="E26" s="22"/>
      <c r="F26" s="11">
        <f t="shared" si="0"/>
        <v>53799555.515029</v>
      </c>
      <c r="G26" s="22">
        <f t="shared" si="1"/>
        <v>53799555.515029</v>
      </c>
      <c r="H26" s="14">
        <f t="shared" si="2"/>
        <v>108.37944301980056</v>
      </c>
      <c r="I26" s="24">
        <f t="shared" si="3"/>
        <v>108.37944301980056</v>
      </c>
      <c r="L26" s="115"/>
      <c r="M26" s="115"/>
    </row>
    <row r="27" spans="1:13" ht="15">
      <c r="A27" s="104">
        <v>2017</v>
      </c>
      <c r="B27" s="17">
        <v>1.202</v>
      </c>
      <c r="C27" s="30">
        <f>'Matrix 1'!GS110</f>
        <v>55632264.13754561</v>
      </c>
      <c r="D27" s="21"/>
      <c r="E27" s="22"/>
      <c r="F27" s="11">
        <f t="shared" si="0"/>
        <v>55632264.13754561</v>
      </c>
      <c r="G27" s="22">
        <f t="shared" si="1"/>
        <v>55632264.13754561</v>
      </c>
      <c r="H27" s="14">
        <f t="shared" si="2"/>
        <v>126.80296341154151</v>
      </c>
      <c r="I27" s="24">
        <f t="shared" si="3"/>
        <v>126.80296341154151</v>
      </c>
      <c r="L27" s="115"/>
      <c r="M27" s="115"/>
    </row>
    <row r="28" spans="1:13" ht="15">
      <c r="A28" s="104">
        <v>2018</v>
      </c>
      <c r="B28" s="17">
        <v>1.051</v>
      </c>
      <c r="C28" s="30">
        <f>'Matrix 1'!GS111</f>
        <v>35614820.39040413</v>
      </c>
      <c r="D28" s="21"/>
      <c r="E28" s="22"/>
      <c r="F28" s="11">
        <f t="shared" si="0"/>
        <v>35614820.39040413</v>
      </c>
      <c r="G28" s="22">
        <f t="shared" si="1"/>
        <v>35614820.39040413</v>
      </c>
      <c r="H28" s="14">
        <f t="shared" si="2"/>
        <v>92.84000988075056</v>
      </c>
      <c r="I28" s="24">
        <f t="shared" si="3"/>
        <v>92.84000988075056</v>
      </c>
      <c r="L28" s="115"/>
      <c r="M28" s="115"/>
    </row>
    <row r="29" spans="1:13" ht="15">
      <c r="A29" s="104">
        <v>2019</v>
      </c>
      <c r="B29" s="17">
        <v>0.915</v>
      </c>
      <c r="C29" s="30">
        <f>'Matrix 1'!GS112</f>
        <v>35620525.789832406</v>
      </c>
      <c r="D29" s="21"/>
      <c r="E29" s="22"/>
      <c r="F29" s="11">
        <f t="shared" si="0"/>
        <v>35620525.789832406</v>
      </c>
      <c r="G29" s="22">
        <f t="shared" si="1"/>
        <v>35620525.789832406</v>
      </c>
      <c r="H29" s="14">
        <f t="shared" si="2"/>
        <v>106.65626406117944</v>
      </c>
      <c r="I29" s="24">
        <f t="shared" si="3"/>
        <v>106.65626406117944</v>
      </c>
      <c r="L29" s="115"/>
      <c r="M29" s="115"/>
    </row>
    <row r="30" spans="1:13" ht="15.75" thickBot="1">
      <c r="A30" s="104">
        <v>2020</v>
      </c>
      <c r="B30" s="17">
        <v>0.79</v>
      </c>
      <c r="C30" s="30">
        <f>'Matrix 1'!GS113</f>
        <v>31947071.528253615</v>
      </c>
      <c r="D30" s="21"/>
      <c r="E30" s="22"/>
      <c r="F30" s="11">
        <f t="shared" si="0"/>
        <v>31947071.528253615</v>
      </c>
      <c r="G30" s="22">
        <f t="shared" si="1"/>
        <v>31947071.528253615</v>
      </c>
      <c r="H30" s="14">
        <f t="shared" si="2"/>
        <v>110.79268780389671</v>
      </c>
      <c r="I30" s="24">
        <f t="shared" si="3"/>
        <v>110.79268780389671</v>
      </c>
      <c r="L30" s="115"/>
      <c r="M30" s="115"/>
    </row>
    <row r="31" spans="2:13" ht="15.75">
      <c r="B31" s="17"/>
      <c r="C31" s="5"/>
      <c r="D31" s="5"/>
      <c r="E31" s="5"/>
      <c r="F31" s="5">
        <f>SUM(F18:F30)</f>
        <v>565209437.6405039</v>
      </c>
      <c r="G31" s="5">
        <f>SUM(G18:G30)</f>
        <v>568248077.7037083</v>
      </c>
      <c r="H31" s="241">
        <f>MIN(H18:H30)</f>
        <v>42.87703714200255</v>
      </c>
      <c r="I31" s="241">
        <f>MAX(I18:I30)</f>
        <v>126.80296341154151</v>
      </c>
      <c r="L31" s="110"/>
      <c r="M31" s="110"/>
    </row>
    <row r="32" spans="2:13" ht="16.5" thickBot="1">
      <c r="B32" s="17"/>
      <c r="C32" s="5"/>
      <c r="D32" s="5"/>
      <c r="E32" s="5"/>
      <c r="F32" s="5"/>
      <c r="G32" s="5"/>
      <c r="H32" s="242" t="s">
        <v>177</v>
      </c>
      <c r="I32" s="242" t="s">
        <v>178</v>
      </c>
      <c r="J32" s="10"/>
      <c r="K32" s="10"/>
      <c r="L32" s="110"/>
      <c r="M32" s="110"/>
    </row>
    <row r="33" spans="2:13" ht="15.75">
      <c r="B33" s="3"/>
      <c r="C33" s="5"/>
      <c r="D33" s="32"/>
      <c r="F33" s="5"/>
      <c r="G33" s="5"/>
      <c r="H33" s="109"/>
      <c r="I33" s="109"/>
      <c r="J33" s="10"/>
      <c r="K33" s="10"/>
      <c r="L33" s="110"/>
      <c r="M33" s="110"/>
    </row>
    <row r="34" spans="2:13" ht="15.75">
      <c r="B34" s="17"/>
      <c r="C34" s="5"/>
      <c r="D34" s="5"/>
      <c r="E34" s="5"/>
      <c r="F34" s="5"/>
      <c r="G34" s="5"/>
      <c r="H34" s="109"/>
      <c r="I34" s="109"/>
      <c r="J34" s="10"/>
      <c r="K34" s="10"/>
      <c r="L34" s="110"/>
      <c r="M34" s="110"/>
    </row>
    <row r="35" spans="2:13" ht="15.75">
      <c r="B35" s="17"/>
      <c r="C35" s="5"/>
      <c r="D35" s="5"/>
      <c r="E35" s="5"/>
      <c r="F35" s="5"/>
      <c r="G35" s="5"/>
      <c r="H35" s="109"/>
      <c r="I35" s="109"/>
      <c r="J35" s="10"/>
      <c r="K35" s="10"/>
      <c r="L35" s="110"/>
      <c r="M35" s="110"/>
    </row>
    <row r="36" spans="2:13" ht="15.75">
      <c r="B36" s="17"/>
      <c r="C36" s="5"/>
      <c r="D36" s="5"/>
      <c r="E36" s="5"/>
      <c r="F36" s="5"/>
      <c r="G36" s="5"/>
      <c r="H36" s="109"/>
      <c r="I36" s="109"/>
      <c r="J36" s="10"/>
      <c r="K36" s="10"/>
      <c r="L36" s="110"/>
      <c r="M36" s="110"/>
    </row>
    <row r="37" spans="2:13" ht="15.75">
      <c r="B37" s="17"/>
      <c r="C37" s="5"/>
      <c r="D37" s="5"/>
      <c r="E37" s="5"/>
      <c r="F37" s="5"/>
      <c r="G37" s="5"/>
      <c r="H37" s="109"/>
      <c r="I37" s="109"/>
      <c r="J37" s="10"/>
      <c r="K37" s="10"/>
      <c r="L37" s="110"/>
      <c r="M37" s="110"/>
    </row>
    <row r="38" spans="2:13" ht="15.75">
      <c r="B38" s="17"/>
      <c r="C38" s="5"/>
      <c r="D38" s="5"/>
      <c r="E38" s="5"/>
      <c r="F38" s="5"/>
      <c r="G38" s="5"/>
      <c r="H38" s="109"/>
      <c r="I38" s="109"/>
      <c r="J38" s="10"/>
      <c r="K38" s="10"/>
      <c r="L38" s="110"/>
      <c r="M38" s="110"/>
    </row>
    <row r="39" spans="2:13" ht="15.75">
      <c r="B39" s="17"/>
      <c r="C39" s="5"/>
      <c r="D39" s="5"/>
      <c r="E39" s="5"/>
      <c r="F39" s="5"/>
      <c r="G39" s="5"/>
      <c r="H39" s="109"/>
      <c r="I39" s="109"/>
      <c r="J39" s="10"/>
      <c r="K39" s="10"/>
      <c r="L39" s="110"/>
      <c r="M39" s="110"/>
    </row>
    <row r="40" spans="2:13" ht="15.75">
      <c r="B40" s="17"/>
      <c r="E40" s="5"/>
      <c r="F40" s="5"/>
      <c r="G40" s="5"/>
      <c r="H40" s="109"/>
      <c r="I40" s="109"/>
      <c r="J40" s="10"/>
      <c r="K40" s="10"/>
      <c r="L40" s="110"/>
      <c r="M40" s="110"/>
    </row>
    <row r="41" spans="8:9" ht="15.75">
      <c r="H41" s="110"/>
      <c r="I41" s="110"/>
    </row>
  </sheetData>
  <mergeCells count="1">
    <mergeCell ref="A5:F5"/>
  </mergeCells>
  <printOptions horizontalCentered="1"/>
  <pageMargins left="0.5" right="0.5" top="0.5" bottom="0.5" header="0.5" footer="0.5"/>
  <pageSetup fitToHeight="2" fitToWidth="1" horizontalDpi="600" verticalDpi="600" orientation="landscape" scale="83" r:id="rId3"/>
  <headerFooter alignWithMargins="0">
    <oddHeader>&amp;C&amp;"Arial,Bold"&amp;14Matrix #3</oddHeader>
    <oddFooter>&amp;CPage &amp;P of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3:Q40"/>
  <sheetViews>
    <sheetView zoomScale="75" zoomScaleNormal="75" workbookViewId="0" topLeftCell="D13">
      <selection activeCell="G18" sqref="G18"/>
    </sheetView>
  </sheetViews>
  <sheetFormatPr defaultColWidth="8.88671875" defaultRowHeight="15"/>
  <cols>
    <col min="1" max="1" width="10.21484375" style="0" bestFit="1" customWidth="1"/>
    <col min="2" max="2" width="13.10546875" style="0" customWidth="1"/>
    <col min="3" max="3" width="14.6640625" style="0" customWidth="1"/>
    <col min="4" max="4" width="14.77734375" style="0" customWidth="1"/>
    <col min="5" max="5" width="13.10546875" style="0" customWidth="1"/>
    <col min="6" max="6" width="16.6640625" style="0" customWidth="1"/>
    <col min="7" max="7" width="16.5546875" style="0" customWidth="1"/>
    <col min="8" max="8" width="13.5546875" style="0" customWidth="1"/>
    <col min="9" max="9" width="15.10546875" style="0" customWidth="1"/>
    <col min="10" max="10" width="13.4453125" style="0" customWidth="1"/>
    <col min="11" max="11" width="16.10546875" style="0" customWidth="1"/>
    <col min="12" max="12" width="13.77734375" style="0" customWidth="1"/>
    <col min="13" max="13" width="12.6640625" style="0" customWidth="1"/>
    <col min="14" max="15" width="12.21484375" style="0" customWidth="1"/>
    <col min="16" max="16" width="12.10546875" style="0" customWidth="1"/>
    <col min="17" max="17" width="11.5546875" style="0" customWidth="1"/>
    <col min="18" max="18" width="11.88671875" style="0" customWidth="1"/>
  </cols>
  <sheetData>
    <row r="3" ht="15">
      <c r="A3" s="34">
        <v>37938</v>
      </c>
    </row>
    <row r="4" ht="15">
      <c r="A4" s="34"/>
    </row>
    <row r="5" spans="1:6" ht="15.75">
      <c r="A5" s="243" t="s">
        <v>181</v>
      </c>
      <c r="B5" s="243"/>
      <c r="C5" s="243"/>
      <c r="D5" s="243"/>
      <c r="E5" s="243"/>
      <c r="F5" s="243"/>
    </row>
    <row r="6" spans="1:6" ht="15.75">
      <c r="A6" s="239"/>
      <c r="B6" s="239"/>
      <c r="C6" s="239"/>
      <c r="D6" s="239"/>
      <c r="E6" s="239"/>
      <c r="F6" s="239"/>
    </row>
    <row r="7" spans="1:6" ht="15.75">
      <c r="A7" t="s">
        <v>193</v>
      </c>
      <c r="B7" s="6"/>
      <c r="C7" s="6"/>
      <c r="D7" s="6"/>
      <c r="E7" s="6"/>
      <c r="F7" s="6"/>
    </row>
    <row r="8" spans="1:6" ht="15.75">
      <c r="A8" t="s">
        <v>184</v>
      </c>
      <c r="B8" s="6"/>
      <c r="C8" s="6"/>
      <c r="D8" s="6"/>
      <c r="E8" s="6"/>
      <c r="F8" s="6"/>
    </row>
    <row r="9" spans="8:10" ht="15.75">
      <c r="H9" s="6"/>
      <c r="I9" s="6"/>
      <c r="J9" s="6"/>
    </row>
    <row r="11" ht="15">
      <c r="H11" t="s">
        <v>67</v>
      </c>
    </row>
    <row r="12" ht="15">
      <c r="H12" t="s">
        <v>17</v>
      </c>
    </row>
    <row r="13" spans="1:9" ht="15.75">
      <c r="A13" s="2"/>
      <c r="H13" s="33">
        <v>78760</v>
      </c>
      <c r="I13" s="33">
        <v>2346240</v>
      </c>
    </row>
    <row r="14" spans="1:15" ht="15.75">
      <c r="A14" s="16"/>
      <c r="L14" s="1"/>
      <c r="O14" s="1"/>
    </row>
    <row r="15" spans="1:15" ht="15">
      <c r="A15" s="104"/>
      <c r="B15" s="28" t="s">
        <v>174</v>
      </c>
      <c r="C15" s="28" t="s">
        <v>14</v>
      </c>
      <c r="D15" s="18" t="s">
        <v>15</v>
      </c>
      <c r="E15" s="28" t="s">
        <v>6</v>
      </c>
      <c r="F15" s="3" t="s">
        <v>185</v>
      </c>
      <c r="G15" s="3" t="s">
        <v>185</v>
      </c>
      <c r="H15" t="s">
        <v>7</v>
      </c>
      <c r="I15" s="104" t="s">
        <v>7</v>
      </c>
      <c r="J15" s="28" t="s">
        <v>8</v>
      </c>
      <c r="K15" s="18" t="s">
        <v>8</v>
      </c>
      <c r="N15" s="111"/>
      <c r="O15" s="112"/>
    </row>
    <row r="16" spans="1:15" ht="15">
      <c r="A16" s="18" t="s">
        <v>5</v>
      </c>
      <c r="B16" s="28" t="s">
        <v>175</v>
      </c>
      <c r="C16" s="28" t="s">
        <v>176</v>
      </c>
      <c r="D16" s="18" t="s">
        <v>16</v>
      </c>
      <c r="E16" s="28" t="s">
        <v>3</v>
      </c>
      <c r="F16" s="3" t="s">
        <v>3</v>
      </c>
      <c r="G16" s="3" t="s">
        <v>3</v>
      </c>
      <c r="H16" s="3" t="s">
        <v>3</v>
      </c>
      <c r="I16" s="18" t="s">
        <v>3</v>
      </c>
      <c r="J16" s="28" t="s">
        <v>9</v>
      </c>
      <c r="K16" s="18" t="s">
        <v>10</v>
      </c>
      <c r="N16" s="113"/>
      <c r="O16" s="113"/>
    </row>
    <row r="17" spans="1:15" ht="18.75" thickBot="1">
      <c r="A17" s="225"/>
      <c r="B17" s="19" t="s">
        <v>4</v>
      </c>
      <c r="C17" s="95" t="s">
        <v>4</v>
      </c>
      <c r="D17" s="95" t="s">
        <v>172</v>
      </c>
      <c r="E17" s="95" t="s">
        <v>180</v>
      </c>
      <c r="F17" s="19" t="s">
        <v>12</v>
      </c>
      <c r="G17" s="19" t="s">
        <v>13</v>
      </c>
      <c r="H17" s="19" t="s">
        <v>12</v>
      </c>
      <c r="I17" s="20" t="s">
        <v>13</v>
      </c>
      <c r="J17" s="19" t="s">
        <v>12</v>
      </c>
      <c r="K17" s="20" t="s">
        <v>13</v>
      </c>
      <c r="N17" s="114"/>
      <c r="O17" s="114"/>
    </row>
    <row r="18" spans="1:15" ht="18.75" thickTop="1">
      <c r="A18" s="104">
        <v>2008</v>
      </c>
      <c r="B18" s="17">
        <v>2.272</v>
      </c>
      <c r="C18">
        <v>0</v>
      </c>
      <c r="D18" s="17">
        <f aca="true" t="shared" si="0" ref="D18:D30">C18/B18</f>
        <v>0</v>
      </c>
      <c r="E18" s="30">
        <f>'Matrix 1'!GS140</f>
        <v>125416556.49041188</v>
      </c>
      <c r="F18" s="11">
        <f>$H$13*((1+0.05)^6)</f>
        <v>105545.932655625</v>
      </c>
      <c r="G18" s="22">
        <f>$I$13*((1+0.05)^6)</f>
        <v>3144185.99586</v>
      </c>
      <c r="H18" s="11">
        <f aca="true" t="shared" si="1" ref="H18:H30">SUM(E18+F18)</f>
        <v>125522102.4230675</v>
      </c>
      <c r="I18" s="22">
        <f aca="true" t="shared" si="2" ref="I18:I30">SUM(E18+G18)</f>
        <v>128560742.48627187</v>
      </c>
      <c r="J18" s="14">
        <f>(H18)/(B18*2000*365)</f>
        <v>75.68137566507542</v>
      </c>
      <c r="K18" s="24">
        <f>(I18)/(B18*2000*365)</f>
        <v>77.51347101477901</v>
      </c>
      <c r="L18" s="240">
        <v>2</v>
      </c>
      <c r="N18" s="115"/>
      <c r="O18" s="115"/>
    </row>
    <row r="19" spans="1:15" ht="15">
      <c r="A19" s="104">
        <v>2009</v>
      </c>
      <c r="B19" s="17">
        <v>2.211</v>
      </c>
      <c r="C19">
        <v>0.57</v>
      </c>
      <c r="D19" s="17">
        <f t="shared" si="0"/>
        <v>0.25780189959294436</v>
      </c>
      <c r="E19" s="30">
        <f>'Matrix 1'!GS141</f>
        <v>134970188.45640412</v>
      </c>
      <c r="F19" s="21"/>
      <c r="G19" s="22"/>
      <c r="H19" s="11">
        <f t="shared" si="1"/>
        <v>134970188.45640412</v>
      </c>
      <c r="I19" s="22">
        <f t="shared" si="2"/>
        <v>134970188.45640412</v>
      </c>
      <c r="J19" s="14">
        <f aca="true" t="shared" si="3" ref="J19:J30">(H19*D19)/(B19*2000*365)</f>
        <v>21.55819344899331</v>
      </c>
      <c r="K19" s="24">
        <f aca="true" t="shared" si="4" ref="K19:K30">(I19*D19)/(B19*2000*365)</f>
        <v>21.55819344899331</v>
      </c>
      <c r="N19" s="115"/>
      <c r="O19" s="115"/>
    </row>
    <row r="20" spans="1:15" ht="15">
      <c r="A20" s="104">
        <v>2010</v>
      </c>
      <c r="B20" s="17">
        <v>2.143</v>
      </c>
      <c r="C20">
        <v>0.582</v>
      </c>
      <c r="D20" s="17">
        <f t="shared" si="0"/>
        <v>0.27158189454036397</v>
      </c>
      <c r="E20" s="30">
        <f>'Matrix 1'!GS142</f>
        <v>144077397.54545948</v>
      </c>
      <c r="F20" s="21"/>
      <c r="G20" s="22"/>
      <c r="H20" s="11">
        <f t="shared" si="1"/>
        <v>144077397.54545948</v>
      </c>
      <c r="I20" s="22">
        <f t="shared" si="2"/>
        <v>144077397.54545948</v>
      </c>
      <c r="J20" s="14">
        <f t="shared" si="3"/>
        <v>25.012185315580556</v>
      </c>
      <c r="K20" s="24">
        <f t="shared" si="4"/>
        <v>25.012185315580556</v>
      </c>
      <c r="N20" s="115"/>
      <c r="O20" s="115"/>
    </row>
    <row r="21" spans="1:15" ht="15">
      <c r="A21" s="104">
        <v>2011</v>
      </c>
      <c r="B21" s="17">
        <v>2.07</v>
      </c>
      <c r="C21">
        <v>0.672</v>
      </c>
      <c r="D21" s="17">
        <f t="shared" si="0"/>
        <v>0.3246376811594203</v>
      </c>
      <c r="E21" s="30">
        <f>'Matrix 1'!GS143</f>
        <v>152752377.62663227</v>
      </c>
      <c r="F21" s="21"/>
      <c r="G21" s="22"/>
      <c r="H21" s="11">
        <f t="shared" si="1"/>
        <v>152752377.62663227</v>
      </c>
      <c r="I21" s="22">
        <f t="shared" si="2"/>
        <v>152752377.62663227</v>
      </c>
      <c r="J21" s="14">
        <f t="shared" si="3"/>
        <v>32.816608870556564</v>
      </c>
      <c r="K21" s="24">
        <f t="shared" si="4"/>
        <v>32.816608870556564</v>
      </c>
      <c r="N21" s="115"/>
      <c r="O21" s="115"/>
    </row>
    <row r="22" spans="1:15" ht="15">
      <c r="A22" s="104">
        <v>2012</v>
      </c>
      <c r="B22" s="17">
        <v>1.99</v>
      </c>
      <c r="C22">
        <v>0.712</v>
      </c>
      <c r="D22" s="17">
        <f t="shared" si="0"/>
        <v>0.35778894472361805</v>
      </c>
      <c r="E22" s="30">
        <f>'Matrix 1'!GS144</f>
        <v>161013436.2094221</v>
      </c>
      <c r="F22" s="21"/>
      <c r="G22" s="22"/>
      <c r="H22" s="11">
        <f t="shared" si="1"/>
        <v>161013436.2094221</v>
      </c>
      <c r="I22" s="22">
        <f t="shared" si="2"/>
        <v>161013436.2094221</v>
      </c>
      <c r="J22" s="14">
        <f t="shared" si="3"/>
        <v>39.6563828923334</v>
      </c>
      <c r="K22" s="24">
        <f t="shared" si="4"/>
        <v>39.6563828923334</v>
      </c>
      <c r="N22" s="115"/>
      <c r="O22" s="115"/>
    </row>
    <row r="23" spans="1:15" ht="15">
      <c r="A23" s="104">
        <v>2013</v>
      </c>
      <c r="B23" s="17">
        <v>1.834</v>
      </c>
      <c r="C23">
        <v>0.735</v>
      </c>
      <c r="D23" s="17">
        <f t="shared" si="0"/>
        <v>0.40076335877862596</v>
      </c>
      <c r="E23" s="30">
        <f>'Matrix 1'!GS145</f>
        <v>168876646.7486959</v>
      </c>
      <c r="F23" s="21"/>
      <c r="G23" s="22"/>
      <c r="H23" s="11">
        <f t="shared" si="1"/>
        <v>168876646.7486959</v>
      </c>
      <c r="I23" s="22">
        <f t="shared" si="2"/>
        <v>168876646.7486959</v>
      </c>
      <c r="J23" s="14">
        <f t="shared" si="3"/>
        <v>50.55165905071547</v>
      </c>
      <c r="K23" s="24">
        <f t="shared" si="4"/>
        <v>50.55165905071547</v>
      </c>
      <c r="N23" s="115"/>
      <c r="O23" s="115"/>
    </row>
    <row r="24" spans="1:15" ht="15">
      <c r="A24" s="104">
        <v>2014</v>
      </c>
      <c r="B24" s="17">
        <v>1.678</v>
      </c>
      <c r="C24">
        <v>0.753</v>
      </c>
      <c r="D24" s="17">
        <f t="shared" si="0"/>
        <v>0.4487485101311085</v>
      </c>
      <c r="E24" s="30">
        <f>'Matrix 1'!GS146</f>
        <v>176376173.0305573</v>
      </c>
      <c r="F24" s="21"/>
      <c r="G24" s="22"/>
      <c r="H24" s="11">
        <f t="shared" si="1"/>
        <v>176376173.0305573</v>
      </c>
      <c r="I24" s="22">
        <f t="shared" si="2"/>
        <v>176376173.0305573</v>
      </c>
      <c r="J24" s="14">
        <f t="shared" si="3"/>
        <v>64.61422181501885</v>
      </c>
      <c r="K24" s="24">
        <f t="shared" si="4"/>
        <v>64.61422181501885</v>
      </c>
      <c r="N24" s="115"/>
      <c r="O24" s="115"/>
    </row>
    <row r="25" spans="1:15" ht="15">
      <c r="A25" s="104">
        <v>2015</v>
      </c>
      <c r="B25" s="17">
        <v>1.521</v>
      </c>
      <c r="C25">
        <v>0.776</v>
      </c>
      <c r="D25" s="17">
        <f t="shared" si="0"/>
        <v>0.5101906640368179</v>
      </c>
      <c r="E25" s="30">
        <f>'Matrix 1'!GS147</f>
        <v>183516911.6737947</v>
      </c>
      <c r="F25" s="21"/>
      <c r="G25" s="22"/>
      <c r="H25" s="11">
        <f t="shared" si="1"/>
        <v>183516911.6737947</v>
      </c>
      <c r="I25" s="22">
        <f t="shared" si="2"/>
        <v>183516911.6737947</v>
      </c>
      <c r="J25" s="14">
        <f t="shared" si="3"/>
        <v>84.32503402487491</v>
      </c>
      <c r="K25" s="24">
        <f t="shared" si="4"/>
        <v>84.32503402487491</v>
      </c>
      <c r="N25" s="115"/>
      <c r="O25" s="115"/>
    </row>
    <row r="26" spans="1:15" ht="15">
      <c r="A26" s="104">
        <v>2016</v>
      </c>
      <c r="B26" s="17">
        <v>1.36</v>
      </c>
      <c r="C26">
        <v>0.77</v>
      </c>
      <c r="D26" s="17">
        <f t="shared" si="0"/>
        <v>0.5661764705882353</v>
      </c>
      <c r="E26" s="30">
        <f>'Matrix 1'!GS148</f>
        <v>190326235.40212065</v>
      </c>
      <c r="F26" s="21"/>
      <c r="G26" s="22"/>
      <c r="H26" s="11">
        <f t="shared" si="1"/>
        <v>190326235.40212065</v>
      </c>
      <c r="I26" s="22">
        <f t="shared" si="2"/>
        <v>190326235.40212065</v>
      </c>
      <c r="J26" s="14">
        <f t="shared" si="3"/>
        <v>108.5397222203045</v>
      </c>
      <c r="K26" s="24">
        <f t="shared" si="4"/>
        <v>108.5397222203045</v>
      </c>
      <c r="N26" s="115"/>
      <c r="O26" s="115"/>
    </row>
    <row r="27" spans="1:15" ht="15">
      <c r="A27" s="104">
        <v>2017</v>
      </c>
      <c r="B27" s="17">
        <v>1.202</v>
      </c>
      <c r="C27">
        <v>0.635</v>
      </c>
      <c r="D27" s="17">
        <f t="shared" si="0"/>
        <v>0.5282861896838602</v>
      </c>
      <c r="E27" s="30">
        <f>'Matrix 1'!GS149</f>
        <v>196809793.2935079</v>
      </c>
      <c r="F27" s="21"/>
      <c r="G27" s="22"/>
      <c r="H27" s="11">
        <f t="shared" si="1"/>
        <v>196809793.2935079</v>
      </c>
      <c r="I27" s="22">
        <f t="shared" si="2"/>
        <v>196809793.2935079</v>
      </c>
      <c r="J27" s="14">
        <f t="shared" si="3"/>
        <v>118.49189227029773</v>
      </c>
      <c r="K27" s="24">
        <f t="shared" si="4"/>
        <v>118.49189227029773</v>
      </c>
      <c r="N27" s="115"/>
      <c r="O27" s="115"/>
    </row>
    <row r="28" spans="1:15" ht="15">
      <c r="A28" s="104">
        <v>2018</v>
      </c>
      <c r="B28" s="17">
        <v>1.051</v>
      </c>
      <c r="C28">
        <v>0.582</v>
      </c>
      <c r="D28" s="17">
        <f t="shared" si="0"/>
        <v>0.5537583254043768</v>
      </c>
      <c r="E28" s="30">
        <f>'Matrix 1'!GS150</f>
        <v>125994250.78028268</v>
      </c>
      <c r="F28" s="21"/>
      <c r="G28" s="22"/>
      <c r="H28" s="11">
        <f t="shared" si="1"/>
        <v>125994250.78028268</v>
      </c>
      <c r="I28" s="22">
        <f t="shared" si="2"/>
        <v>125994250.78028268</v>
      </c>
      <c r="J28" s="14">
        <f t="shared" si="3"/>
        <v>90.93800466961461</v>
      </c>
      <c r="K28" s="24">
        <f t="shared" si="4"/>
        <v>90.93800466961461</v>
      </c>
      <c r="N28" s="115"/>
      <c r="O28" s="115"/>
    </row>
    <row r="29" spans="1:15" ht="15">
      <c r="A29" s="104">
        <v>2019</v>
      </c>
      <c r="B29" s="17">
        <v>0.915</v>
      </c>
      <c r="C29">
        <v>0.533</v>
      </c>
      <c r="D29" s="17">
        <f t="shared" si="0"/>
        <v>0.5825136612021858</v>
      </c>
      <c r="E29" s="30">
        <f>'Matrix 1'!GS151</f>
        <v>126014434.72389066</v>
      </c>
      <c r="F29" s="21"/>
      <c r="G29" s="22"/>
      <c r="H29" s="11">
        <f t="shared" si="1"/>
        <v>126014434.72389066</v>
      </c>
      <c r="I29" s="22">
        <f t="shared" si="2"/>
        <v>126014434.72389066</v>
      </c>
      <c r="J29" s="14">
        <f t="shared" si="3"/>
        <v>109.89614452479587</v>
      </c>
      <c r="K29" s="24">
        <f t="shared" si="4"/>
        <v>109.89614452479587</v>
      </c>
      <c r="N29" s="115"/>
      <c r="O29" s="115"/>
    </row>
    <row r="30" spans="1:15" ht="15.75" thickBot="1">
      <c r="A30" s="104">
        <v>2020</v>
      </c>
      <c r="B30" s="17">
        <v>0.79</v>
      </c>
      <c r="C30">
        <v>0.5</v>
      </c>
      <c r="D30" s="17">
        <f t="shared" si="0"/>
        <v>0.6329113924050632</v>
      </c>
      <c r="E30" s="30">
        <f>'Matrix 1'!GS152</f>
        <v>113018886.45522779</v>
      </c>
      <c r="F30" s="21"/>
      <c r="G30" s="22"/>
      <c r="H30" s="11">
        <f t="shared" si="1"/>
        <v>113018886.45522779</v>
      </c>
      <c r="I30" s="22">
        <f t="shared" si="2"/>
        <v>113018886.45522779</v>
      </c>
      <c r="J30" s="14">
        <f t="shared" si="3"/>
        <v>124.03492421440603</v>
      </c>
      <c r="K30" s="24">
        <f t="shared" si="4"/>
        <v>124.03492421440603</v>
      </c>
      <c r="N30" s="115"/>
      <c r="O30" s="115"/>
    </row>
    <row r="31" spans="2:17" ht="15.75">
      <c r="B31" s="17">
        <f>SUM(B18:B30)</f>
        <v>21.036999999999995</v>
      </c>
      <c r="C31">
        <f>SUM(C18:C30)</f>
        <v>7.8199999999999985</v>
      </c>
      <c r="F31" s="5"/>
      <c r="G31" s="5"/>
      <c r="H31" s="5">
        <f>SUM(H18:H30)</f>
        <v>1999268834.369063</v>
      </c>
      <c r="I31" s="5">
        <f>SUM(I18:I30)</f>
        <v>2002307474.4322672</v>
      </c>
      <c r="J31" s="241">
        <f>MIN(J19:J30)</f>
        <v>21.55819344899331</v>
      </c>
      <c r="K31" s="241">
        <f>MAX(K19:K30)</f>
        <v>124.03492421440603</v>
      </c>
      <c r="P31" s="110"/>
      <c r="Q31" s="110"/>
    </row>
    <row r="32" spans="2:13" ht="16.5" thickBot="1">
      <c r="B32" s="3"/>
      <c r="G32" s="5"/>
      <c r="J32" s="210" t="s">
        <v>177</v>
      </c>
      <c r="K32" s="210" t="s">
        <v>178</v>
      </c>
      <c r="L32" s="110"/>
      <c r="M32" s="110"/>
    </row>
    <row r="34" spans="1:8" ht="18.75">
      <c r="A34" s="54" t="s">
        <v>173</v>
      </c>
      <c r="G34" s="5"/>
      <c r="H34" s="1"/>
    </row>
    <row r="35" ht="15">
      <c r="A35" t="s">
        <v>188</v>
      </c>
    </row>
    <row r="36" ht="15">
      <c r="A36" t="s">
        <v>189</v>
      </c>
    </row>
    <row r="37" ht="15">
      <c r="A37" t="s">
        <v>182</v>
      </c>
    </row>
    <row r="39" ht="18">
      <c r="A39" s="54" t="s">
        <v>190</v>
      </c>
    </row>
    <row r="40" ht="15">
      <c r="A40" t="s">
        <v>191</v>
      </c>
    </row>
  </sheetData>
  <mergeCells count="1">
    <mergeCell ref="A5:F5"/>
  </mergeCells>
  <printOptions horizontalCentered="1"/>
  <pageMargins left="0.5" right="0.5" top="0.5" bottom="0.5" header="0.5" footer="0.5"/>
  <pageSetup fitToHeight="1" fitToWidth="1" horizontalDpi="600" verticalDpi="600" orientation="landscape" scale="58" r:id="rId3"/>
  <headerFooter alignWithMargins="0">
    <oddHeader>&amp;C&amp;"Arial,Bold"&amp;14Matrix #4
</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jmanji</dc:creator>
  <cp:keywords/>
  <dc:description/>
  <cp:lastModifiedBy>Lisa Williams</cp:lastModifiedBy>
  <cp:lastPrinted>2003-11-14T19:22:03Z</cp:lastPrinted>
  <dcterms:created xsi:type="dcterms:W3CDTF">2003-07-09T16:35:01Z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