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165" tabRatio="726" activeTab="0"/>
  </bookViews>
  <sheets>
    <sheet name="Changes" sheetId="1" r:id="rId1"/>
    <sheet name="Sum" sheetId="2" r:id="rId2"/>
    <sheet name="PGCbyGDF" sheetId="3" r:id="rId3"/>
    <sheet name="PGCbyMod" sheetId="4" r:id="rId4"/>
    <sheet name="GDF 1" sheetId="5" r:id="rId5"/>
    <sheet name="GDF 2" sheetId="6" r:id="rId6"/>
    <sheet name="GDF 3" sheetId="7" r:id="rId7"/>
    <sheet name="GDF 4" sheetId="8" r:id="rId8"/>
    <sheet name="GDF 5" sheetId="9" r:id="rId9"/>
    <sheet name="RD Costs" sheetId="10" r:id="rId10"/>
    <sheet name="CertTestCosts" sheetId="11" r:id="rId11"/>
    <sheet name="GDF Distr" sheetId="12" r:id="rId12"/>
    <sheet name="Ref and Notes" sheetId="13" r:id="rId13"/>
  </sheets>
  <definedNames>
    <definedName name="_xlnm.Print_Area" localSheetId="7">'GDF 4'!$A$1:$I$113</definedName>
  </definedNames>
  <calcPr fullCalcOnLoad="1"/>
</workbook>
</file>

<file path=xl/sharedStrings.xml><?xml version="1.0" encoding="utf-8"?>
<sst xmlns="http://schemas.openxmlformats.org/spreadsheetml/2006/main" count="957" uniqueCount="381">
  <si>
    <t/>
  </si>
  <si>
    <t>COST-EFFECTIVENESS SUMMARY</t>
  </si>
  <si>
    <t>Input Values Used in Cost Analysis</t>
  </si>
  <si>
    <t>Input value for each Model GDF</t>
  </si>
  <si>
    <t>Input variable used in Cost Analysis</t>
  </si>
  <si>
    <t>Nominal Monthly Average Sales per GDF, gals/month-GDF (EPA, 1991)</t>
  </si>
  <si>
    <t>Population Distribution (EPA, 1991 adjusted to fit current pop-wtd average)</t>
  </si>
  <si>
    <t>Estimated Number of GDFs (11,250 total)</t>
  </si>
  <si>
    <t>Total Annual Sales, million gals/yr</t>
  </si>
  <si>
    <t>Number of Processors per GDF (when applicable)</t>
  </si>
  <si>
    <t>Number of Drop Tubes &amp; Spill Buckets per GDF</t>
  </si>
  <si>
    <t>Wtd-Avg Number of Nozzles per GDF (EPA, 1991)</t>
  </si>
  <si>
    <t>Est. population-wtd average gallons per month using population above</t>
  </si>
  <si>
    <t xml:space="preserve"> gals</t>
  </si>
  <si>
    <t xml:space="preserve">Actual population-wtd average gallons per month </t>
  </si>
  <si>
    <t xml:space="preserve">   Total GDFs in CA in 1998 =</t>
  </si>
  <si>
    <t>Emission Reductions per Model GDF</t>
  </si>
  <si>
    <t>Emission Reductions</t>
  </si>
  <si>
    <t>ROG Reductions</t>
  </si>
  <si>
    <t>by Model GDF and Module, tons/day</t>
  </si>
  <si>
    <t>Module</t>
  </si>
  <si>
    <t>Description</t>
  </si>
  <si>
    <t>Statewide, tons/day</t>
  </si>
  <si>
    <t>Phase I</t>
  </si>
  <si>
    <t>Phase II</t>
  </si>
  <si>
    <t>ORVR Compatibility</t>
  </si>
  <si>
    <t>Liquid Retention</t>
  </si>
  <si>
    <t>Spillage/Dripless Nozzle</t>
  </si>
  <si>
    <t>In-Station Diagnostics</t>
  </si>
  <si>
    <t>Total</t>
  </si>
  <si>
    <t>Cost-Effectiveness (C.E.) &amp; Impacts to GDFs and Consumers</t>
  </si>
  <si>
    <t>Cost-Effectiveness by Model GDF and Module</t>
  </si>
  <si>
    <t>Overall</t>
  </si>
  <si>
    <t>1999 Dollars per Pound ROG Reduced</t>
  </si>
  <si>
    <t>Cost-Effectiveness</t>
  </si>
  <si>
    <t>by Module only</t>
  </si>
  <si>
    <t>Phase I C.E. (Annual Costs/Annual Reductions)</t>
  </si>
  <si>
    <t xml:space="preserve">   Annualized Equip Costs (assumes 25%/yr conversion)</t>
  </si>
  <si>
    <t xml:space="preserve">   Annualized R&amp;D Costs (assume 5% of Total R&amp;D)</t>
  </si>
  <si>
    <t xml:space="preserve">   Annualized Cert &amp; Testing (assume 5% of Total Cert)</t>
  </si>
  <si>
    <t xml:space="preserve">   Annual Gasoline Recovery Credit</t>
  </si>
  <si>
    <t>Phase II C.E. (Annual Costs/Annual Reductions)</t>
  </si>
  <si>
    <t xml:space="preserve">   Annualized R&amp;D Costs (assume 50% of Total R&amp;D)</t>
  </si>
  <si>
    <t xml:space="preserve">   Annualized Cert &amp; Testing (assume 50% of Total Cert)</t>
  </si>
  <si>
    <t>ORVR Compatibility (Annual Costs/Annual Reductions)</t>
  </si>
  <si>
    <t xml:space="preserve">   Annualized R&amp;D Costs (assume 10% of Total R&amp;D)</t>
  </si>
  <si>
    <t xml:space="preserve">   Annualized Cert &amp; Testing (assume 10% of Total Cert)</t>
  </si>
  <si>
    <t>Liquid Retention (Annual Costs/Annual Reductions)</t>
  </si>
  <si>
    <t>Spillage/Dripless Nozzle (Annual Costs/Annual Reductions)</t>
  </si>
  <si>
    <t>In-Station Diagnostics (Annual Costs/Annual Reductions)</t>
  </si>
  <si>
    <t xml:space="preserve">   Annualized R&amp;D Costs (assume 25% of Total R&amp;D)</t>
  </si>
  <si>
    <t xml:space="preserve">   Annualized Cert &amp; Testing (assume 25% of Total Cert)</t>
  </si>
  <si>
    <t>Total Annual Costs by Model GDF Category</t>
  </si>
  <si>
    <t>Total Annual Costs per each GDF in a Model GDF Category</t>
  </si>
  <si>
    <t>overall annual cost</t>
  </si>
  <si>
    <t>Per-gallon cost increase for consumers, cents/gallon</t>
  </si>
  <si>
    <t>Non-Wtd Cost-Effectiveness for All Modules by Model GDF</t>
  </si>
  <si>
    <t>avg. per-gal increase</t>
  </si>
  <si>
    <t>Notes:</t>
  </si>
  <si>
    <t>(cents per gallon)</t>
  </si>
  <si>
    <t>Gasoline price/gal assumed =</t>
  </si>
  <si>
    <t>Per-gallon increase for consumers assumes all costs passed on to consumers</t>
  </si>
  <si>
    <t>Gasoline density, lb/gal =</t>
  </si>
  <si>
    <t>Per-Gallon Cost Increase by Module and Model GDF</t>
  </si>
  <si>
    <t>Per-Gallon Cost Increase</t>
  </si>
  <si>
    <t>by Module and Model GDF, cents per gallon</t>
  </si>
  <si>
    <t>Model GDF</t>
  </si>
  <si>
    <t>Per-GDF Throughput, gals/mo</t>
  </si>
  <si>
    <t>Total Cents per Gal Increase by Model GDF</t>
  </si>
  <si>
    <t>Per-Gallon Cost Increase by Module</t>
  </si>
  <si>
    <t>Annual Costs, $Million/yr</t>
  </si>
  <si>
    <t>Cents per Gallon</t>
  </si>
  <si>
    <t>ORVR</t>
  </si>
  <si>
    <t>Liq. Ret.</t>
  </si>
  <si>
    <t>Spillage</t>
  </si>
  <si>
    <t>ISD</t>
  </si>
  <si>
    <t xml:space="preserve">Total  </t>
  </si>
  <si>
    <t>Estimated Equipment Costs for a Model GDF 1 Facility per Proposed Module</t>
  </si>
  <si>
    <t>Unit Cost</t>
  </si>
  <si>
    <t>Number of Components in Model GDF</t>
  </si>
  <si>
    <t>Proposed Module</t>
  </si>
  <si>
    <t>1999 Dollars</t>
  </si>
  <si>
    <t>Bal-1</t>
  </si>
  <si>
    <t>Bal-2</t>
  </si>
  <si>
    <t>Hybrid</t>
  </si>
  <si>
    <t>Assist-1</t>
  </si>
  <si>
    <t>Assist-2</t>
  </si>
  <si>
    <t>Module 1 (Phase I)</t>
  </si>
  <si>
    <t>Phase I Components</t>
  </si>
  <si>
    <t xml:space="preserve">   Pressure/Vacuum (P/V) valve</t>
  </si>
  <si>
    <t xml:space="preserve">   Low-emission spill containment and cover</t>
  </si>
  <si>
    <t xml:space="preserve">   Drop tube &amp; overfill protection</t>
  </si>
  <si>
    <t xml:space="preserve">   Rotatable adaptor</t>
  </si>
  <si>
    <t>Installation Costs</t>
  </si>
  <si>
    <t xml:space="preserve">   Pressure/Vacuum (P/V) Valve</t>
  </si>
  <si>
    <t>Module 1 -- Total Fixed Cost (All Equipment)</t>
  </si>
  <si>
    <t>Module 1 -- Total Annualized Cost = Total Fixed Cost x CRF2</t>
  </si>
  <si>
    <t>Avg Fixed</t>
  </si>
  <si>
    <t>Avg Annual</t>
  </si>
  <si>
    <t>Module 2 (Phase II w/pressure-related fugitives)</t>
  </si>
  <si>
    <t>Dispenser Components</t>
  </si>
  <si>
    <t xml:space="preserve">   Nozzle -- Balance</t>
  </si>
  <si>
    <t xml:space="preserve">   Nozzle -- Hybrid</t>
  </si>
  <si>
    <t xml:space="preserve">   Nozzle -- Assist Type 1</t>
  </si>
  <si>
    <t xml:space="preserve">   Nozzle -- Assist Type 2</t>
  </si>
  <si>
    <t xml:space="preserve">   Modified Equipment (Dispenser-related) -- Balance</t>
  </si>
  <si>
    <t xml:space="preserve">   Modified Equipment (Dispenser-related) -- Hybrid</t>
  </si>
  <si>
    <t xml:space="preserve">   Modified Equipment (Dispenser-related) -- Assist Type 1</t>
  </si>
  <si>
    <t xml:space="preserve">   Modified Equipment (Dispenser-related) -- Assist Type 2</t>
  </si>
  <si>
    <t>Auxilliary Items (incl. P/V, collection &amp; processor)</t>
  </si>
  <si>
    <t xml:space="preserve">   Assist Type 1</t>
  </si>
  <si>
    <t xml:space="preserve">   Assist Type 2</t>
  </si>
  <si>
    <t>Vapor processor</t>
  </si>
  <si>
    <t xml:space="preserve">   for those Balance systems that use processors</t>
  </si>
  <si>
    <t xml:space="preserve">   Auxilliary Items -- Assist Type 1</t>
  </si>
  <si>
    <t xml:space="preserve">   Auxilliary Items -- Assist Type 2</t>
  </si>
  <si>
    <t xml:space="preserve">   Vapor processor -- Balance</t>
  </si>
  <si>
    <t>Module 2 -- Total Fixed Cost (All Equipment)</t>
  </si>
  <si>
    <t xml:space="preserve">   Module 2 -- Total Fixed Cost (TFC Nozzles)</t>
  </si>
  <si>
    <t xml:space="preserve">   Module 2 -- Total Fixed Cost (TFC Dispensers)</t>
  </si>
  <si>
    <t xml:space="preserve">   Module 2 -- Total Fixed Cost (TFC All Other Equipment)</t>
  </si>
  <si>
    <t>Module 2 -- Annualized Cost = Fixed Costs (TFC Nozzles) x CRF3</t>
  </si>
  <si>
    <t>Module 2 -- Annualized Cost = Fixed Costs (TFC Dispensers) x CRF2</t>
  </si>
  <si>
    <t>Module 2 -- Annualized Cost = Fixed Cost (TFC All Others) x CRF1</t>
  </si>
  <si>
    <t>Module 2 -- Total Annualized Costs (All Equipment)</t>
  </si>
  <si>
    <t>Module 3 (ORVR Compatibility)</t>
  </si>
  <si>
    <t>Components</t>
  </si>
  <si>
    <t xml:space="preserve">   Nozzle (Healy ORVR compatible drop-in assist nozzle)</t>
  </si>
  <si>
    <t xml:space="preserve">      Assumed 25% premium over Module 2-compliant</t>
  </si>
  <si>
    <t xml:space="preserve">      nozzle (applies to assist only)</t>
  </si>
  <si>
    <t xml:space="preserve">   Dispenser sensor &amp; related electronics</t>
  </si>
  <si>
    <t xml:space="preserve">      (Hoffer Flow Control)</t>
  </si>
  <si>
    <t xml:space="preserve">   Nozzle (Healy ORVR compatible drop-in assist nozzle)*</t>
  </si>
  <si>
    <t>Module 3 -- Total Fixed Costs (Equipment Purchase + Installation)</t>
  </si>
  <si>
    <t xml:space="preserve">   Module 3 -- Total Fixed Costs (Nozzles)</t>
  </si>
  <si>
    <t xml:space="preserve">   Module 3 -- Total Fixed Costs (Dispensers)</t>
  </si>
  <si>
    <t>Module 3 -- Annualized Costs = Fixed Costs (Nozzles) x CRF3</t>
  </si>
  <si>
    <t>Module 3 -- Annualized Costs = Fixed Costs (Dispensers) x CRF2</t>
  </si>
  <si>
    <t>Module 3 -- Total Annualized Costs (All Equipment)</t>
  </si>
  <si>
    <t>Module 4 (Liquid Retention -- Redesigned Nozzle)</t>
  </si>
  <si>
    <t xml:space="preserve">   Assumed 25% premium over Module 2-compliant</t>
  </si>
  <si>
    <t xml:space="preserve">   nozzle; in-nozzle design only; no extra installation</t>
  </si>
  <si>
    <t>Module 4 -- Total Fixed Costs (Equipment Purchase + Installation)</t>
  </si>
  <si>
    <t>Module 4 -- Annualized Costs = Fixed Costs x CRF3</t>
  </si>
  <si>
    <t>Module 5 (Spillage, including Dripless Nozzle)</t>
  </si>
  <si>
    <t>Module 5 -- Total Fixed Costs (All Equipment)</t>
  </si>
  <si>
    <t>Module 5 -- Annualized Costs = Fixed Costs x CRF3</t>
  </si>
  <si>
    <t>Module 6 (In-Station Diagnostics)</t>
  </si>
  <si>
    <t xml:space="preserve">   Sensors -- Pressure</t>
  </si>
  <si>
    <t xml:space="preserve">   Sensors -- A/L</t>
  </si>
  <si>
    <t xml:space="preserve">   Datalogger w/EPROM &amp; new CPU/motherboard</t>
  </si>
  <si>
    <t xml:space="preserve">   Assumed 2 person-days/dispenser for ISD installation</t>
  </si>
  <si>
    <t>Module 6 -- Total Fixed Costs (All Equipment)</t>
  </si>
  <si>
    <t>Module 6 -- Annualized Costs = Total Fixed Costs x CRF1</t>
  </si>
  <si>
    <t>Total Fixed Costs (All Modules)</t>
  </si>
  <si>
    <t>Total Annualized Fixed Costs (All Modules)</t>
  </si>
  <si>
    <t>Notes</t>
  </si>
  <si>
    <t>Cost Recovery Factor CRF1 (10% discount, 10 yr. life) -- All Others</t>
  </si>
  <si>
    <t>Average Total Fixed Cost</t>
  </si>
  <si>
    <t>Cost Recovery Factor CRF2 (10% discount, 7 yr. life) -- Dispensers</t>
  </si>
  <si>
    <t>Average Total Annualized Cost</t>
  </si>
  <si>
    <t>Cost Recovery Factor CRF3 (10% discount, 3 yr. life) -- Nozzles</t>
  </si>
  <si>
    <t>* from Healy Systems, 1999.</t>
  </si>
  <si>
    <t>Estimated Equipment Costs for a Model GDF 2 Facility per Proposed Module</t>
  </si>
  <si>
    <t>Estimated Equipment Costs for a Model GDF 3 Facility per Proposed Module</t>
  </si>
  <si>
    <t>Estimated Equipment Costs for a Model GDF 4 Facility per Proposed Module</t>
  </si>
  <si>
    <t>Estimated Equipment Costs for a Model GDF 5 Facility per Proposed Module</t>
  </si>
  <si>
    <t>Research &amp; Development Costs for All Proposed Modules</t>
  </si>
  <si>
    <t>Source</t>
  </si>
  <si>
    <t>Unit Cost or Value</t>
  </si>
  <si>
    <t>Staff Costs</t>
  </si>
  <si>
    <t>Phase I systems</t>
  </si>
  <si>
    <t xml:space="preserve">   Engineering</t>
  </si>
  <si>
    <t xml:space="preserve">     Assumed number of full-time engineers needed per certification</t>
  </si>
  <si>
    <t xml:space="preserve">     Annual cost per engineer (salary + benefits)</t>
  </si>
  <si>
    <t xml:space="preserve">     Number of years required per certification</t>
  </si>
  <si>
    <t xml:space="preserve">   Non-engineering</t>
  </si>
  <si>
    <t xml:space="preserve">     Support staff needed per certfication (assume 1 support per 2 engineers)</t>
  </si>
  <si>
    <t xml:space="preserve">     Annual cost per support staff (salary + benefits; assume 50% of engineer cost)</t>
  </si>
  <si>
    <t>Total R&amp;D Staff Costs per Phase I certification</t>
  </si>
  <si>
    <t>Phase II &amp; ISD systems</t>
  </si>
  <si>
    <t>Total R&amp;D Staff Costs per Phase II and ISD Certification</t>
  </si>
  <si>
    <t>Component &amp; Systems Development Costs (CSDC) per Certification</t>
  </si>
  <si>
    <t xml:space="preserve">     Design, prototype development, &amp; commercialization cost per certification</t>
  </si>
  <si>
    <t xml:space="preserve">         (assume 10% of total staff costs)</t>
  </si>
  <si>
    <t>Miscellaneous Costs</t>
  </si>
  <si>
    <t xml:space="preserve">     Marketing costs per certification (assumed 25% of CSDC)</t>
  </si>
  <si>
    <t>Total number of Phase II recertifications (as of 01/01/2000)</t>
  </si>
  <si>
    <t>ISD systems to be developed &amp; certified (assume 25% of total Ph II recertifications)</t>
  </si>
  <si>
    <t>Total number of Phase I recertifications (as of 01/01/2000)</t>
  </si>
  <si>
    <t>Total Research &amp; Development Costs</t>
  </si>
  <si>
    <t>Annualized R&amp;D Costs (CRF @ 10% discount rate, 5 yrs)</t>
  </si>
  <si>
    <t>Certification and Testing Costs for All Proposed Modules</t>
  </si>
  <si>
    <t>ARB Certification Fees</t>
  </si>
  <si>
    <t xml:space="preserve">     Typical current ARB fees per Phase II certification</t>
  </si>
  <si>
    <t xml:space="preserve">     Typical current ARB fees per Phase I certification</t>
  </si>
  <si>
    <t xml:space="preserve">     Multiplier for increase in test period (to 6 mos) &amp; test matrix (to 200 cars)</t>
  </si>
  <si>
    <t xml:space="preserve">     Total number of recertifications</t>
  </si>
  <si>
    <t xml:space="preserve">          Phase II</t>
  </si>
  <si>
    <t xml:space="preserve">          Phase I</t>
  </si>
  <si>
    <t xml:space="preserve">     Est. number of ISD certifications</t>
  </si>
  <si>
    <t>Total ARB Certification Fees (assume fee for ISD same as for Phase II)</t>
  </si>
  <si>
    <t>Manufacturers' Certification Fees</t>
  </si>
  <si>
    <t xml:space="preserve">     Typical current Phase II cost per certification (site preparation, testing)</t>
  </si>
  <si>
    <t xml:space="preserve">     Typical current Phase I cost per certification (assume 20% of Phase II)</t>
  </si>
  <si>
    <t xml:space="preserve">     Total number of Phase II recertifications</t>
  </si>
  <si>
    <t xml:space="preserve">     Est. number of new certifications (i.e., ISD systems or components)</t>
  </si>
  <si>
    <t xml:space="preserve">     Total number of Phase I recertifications</t>
  </si>
  <si>
    <t>Total Manufacturers' Phase I, Phase II, &amp; ISD Certification Costs</t>
  </si>
  <si>
    <t>Total Certification (ARB + Manufacturers) Costs (over 4 years)</t>
  </si>
  <si>
    <t>Annualized Certification Costs (CRF @ 10% discount rate, 4 yrs)</t>
  </si>
  <si>
    <t>(1)  4 yr annualization period for cost recovery factor (CRF) reflects proposed 4-yr cert. lifetimes</t>
  </si>
  <si>
    <t>(2)  $170,000 typical manuf. certification costs includes $75,000 on-site + $75,000 internal</t>
  </si>
  <si>
    <t xml:space="preserve">      engineering and lab costs to prepare for field certification + $20,000 for pressure monitoring.</t>
  </si>
  <si>
    <t>(3)  Typical ARB certification fees taken from most recent ARB invoices for Phase I/II testing.</t>
  </si>
  <si>
    <t>GDF Population Distribution</t>
  </si>
  <si>
    <t>National GDF Distribution in 1991</t>
  </si>
  <si>
    <t>Est. California Distribution in 1998</t>
  </si>
  <si>
    <t>Percent</t>
  </si>
  <si>
    <t>Gal/mo</t>
  </si>
  <si>
    <t>of GDFs</t>
  </si>
  <si>
    <t>PWA (1991) =</t>
  </si>
  <si>
    <t>gal/mo</t>
  </si>
  <si>
    <t>PWA (1998) =</t>
  </si>
  <si>
    <t>Source:  EPA, 1991</t>
  </si>
  <si>
    <t>Source:  Staff adjustment of EPA, 1991</t>
  </si>
  <si>
    <t>PWA = population-wtd average</t>
  </si>
  <si>
    <t>distribution to fit current average</t>
  </si>
  <si>
    <t>(pop-wtd avg = 99865)</t>
  </si>
  <si>
    <t>Ref.</t>
  </si>
  <si>
    <t>(a)</t>
  </si>
  <si>
    <t>1998 average motor fuel sold per store = 95,100 gals/month</t>
  </si>
  <si>
    <t>(b)</t>
  </si>
  <si>
    <t>breakaways (avg = $32.50 each)</t>
  </si>
  <si>
    <t>drop tubes (avg = $111 each, CARB approved)</t>
  </si>
  <si>
    <t>(c)</t>
  </si>
  <si>
    <t>P/V valves (avg = $65 each, CARB approved)</t>
  </si>
  <si>
    <t>(d)</t>
  </si>
  <si>
    <t>EPROM + main CPU board (avg = $725 each)</t>
  </si>
  <si>
    <t>(e)</t>
  </si>
  <si>
    <t>spill containment "bucket" with drain (avg = $482 each)</t>
  </si>
  <si>
    <t>"No excavation of downtime loss with Healy," Slide 14.</t>
  </si>
  <si>
    <t>"No additional installation costs," Slide 14.</t>
  </si>
  <si>
    <t>"Healy ORVR System," &lt;http://www.healysystems.com/orvr1.htm&gt;, visited on 01/13/00.</t>
  </si>
  <si>
    <t>"...Healy Systems gives you the whole package in the nozzle."</t>
  </si>
  <si>
    <t xml:space="preserve">"1999 State of the Industry Report," National Assoc. of Convience Stores, </t>
  </si>
  <si>
    <t xml:space="preserve">&lt;http://www.cstorecentral.com/register/resource/resource/99soihighlights.html, </t>
  </si>
  <si>
    <t xml:space="preserve">visited on 01/03/00. </t>
  </si>
  <si>
    <t xml:space="preserve">Because of 1998's low fuel prices, the average margin cents per gallon </t>
  </si>
  <si>
    <t>dropped to 12.6 cents compared to 1997's 13.4 cents.</t>
  </si>
  <si>
    <t xml:space="preserve">"EBW Vapor Recovery Equipment Price List," </t>
  </si>
  <si>
    <t>price list spreadsheet from EBW Web site, &lt;http://www.ebw.com/pricelst&gt;, visited on 01/03/00.</t>
  </si>
  <si>
    <t xml:space="preserve">"Model 800 Intelligent ORVR Nozzle," Powerpoint presentation by Healy Systems, </t>
  </si>
  <si>
    <t>&lt;http://www.healysystems.com/NozzlesandHoses/NozzlesandHoses.ppt&gt;, visited on 01/03/00.</t>
  </si>
  <si>
    <t>"Retrofit product: approximate installation time takes 2 workers one day per</t>
  </si>
  <si>
    <t xml:space="preserve"> 4 multi-product dispenser station," Slide 14.</t>
  </si>
  <si>
    <t xml:space="preserve">"...Healy Model 800 Nozzle converts your vacuum assist dispensers to ORVR </t>
  </si>
  <si>
    <t>with no added below-ground systems and no new electronics."</t>
  </si>
  <si>
    <t>Components (Veeder-Root Cost Estimates)</t>
  </si>
  <si>
    <t>Module 6 - Annualized maintenance/calib/repair</t>
  </si>
  <si>
    <t xml:space="preserve"> </t>
  </si>
  <si>
    <t>old</t>
  </si>
  <si>
    <t>OLD</t>
  </si>
  <si>
    <t>(OLD)</t>
  </si>
  <si>
    <t xml:space="preserve">Phase I </t>
  </si>
  <si>
    <t>was 14</t>
  </si>
  <si>
    <t>now 7</t>
  </si>
  <si>
    <t>was 64</t>
  </si>
  <si>
    <t>now 32</t>
  </si>
  <si>
    <t xml:space="preserve">was 16 </t>
  </si>
  <si>
    <t>now 8</t>
  </si>
  <si>
    <t>CHANGES TO COST ANALYSIS SINCE MARCH 29TH TECH REVIEW REPORT</t>
  </si>
  <si>
    <t>EVR ISOR was $1230 per dispenser</t>
  </si>
  <si>
    <t>EVR Tech Review doubled cost to $$2560 per dispenser</t>
  </si>
  <si>
    <t>Veeder-Root costs based on experience in installing ISD at nine sites ($55/hr):</t>
  </si>
  <si>
    <t>Two line items: Base install per facility and per-dispenser install</t>
  </si>
  <si>
    <t>Base</t>
  </si>
  <si>
    <t>Per Dispenser</t>
  </si>
  <si>
    <t>Example: GDF 3</t>
  </si>
  <si>
    <t>New</t>
  </si>
  <si>
    <t>Retrofit</t>
  </si>
  <si>
    <t>$250 + 3 x $125 = $625</t>
  </si>
  <si>
    <t>$300 + 3 x $200 = $900</t>
  </si>
  <si>
    <t>The higher retrofit costs were used for the cost analysis.</t>
  </si>
  <si>
    <t>Installation Costs: assume retrofit costs of $300 base + $200 per dispenser</t>
  </si>
  <si>
    <t>Revised ISD maintenance/calibration/repair costs</t>
  </si>
  <si>
    <t>EVR Tech Review assumed $1200/yr as suggested by Glenn Co. APCD</t>
  </si>
  <si>
    <r>
      <t>Reduced R&amp;D and certification costs</t>
    </r>
    <r>
      <rPr>
        <sz val="10"/>
        <rFont val="Arial"/>
        <family val="0"/>
      </rPr>
      <t xml:space="preserve"> by halving the number of expected certified systems:</t>
    </r>
  </si>
  <si>
    <r>
      <t>Reduced ISD installation costs</t>
    </r>
    <r>
      <rPr>
        <sz val="10"/>
        <rFont val="Arial"/>
        <family val="0"/>
      </rPr>
      <t xml:space="preserve"> based on 4/15/02 Veeder-Root comment letter</t>
    </r>
  </si>
  <si>
    <t>EVR ISOR did not include these costs</t>
  </si>
  <si>
    <t>Veeder-Root suggests costs depend on number of ISD components</t>
  </si>
  <si>
    <t>A/L sensor</t>
  </si>
  <si>
    <t>Pressure sensor</t>
  </si>
  <si>
    <t>Datalogger</t>
  </si>
  <si>
    <t>TOTAL</t>
  </si>
  <si>
    <t>GDF1</t>
  </si>
  <si>
    <t>GDF2</t>
  </si>
  <si>
    <t>GDF3</t>
  </si>
  <si>
    <t>GDF4</t>
  </si>
  <si>
    <t>GDF5</t>
  </si>
  <si>
    <t>Year 1</t>
  </si>
  <si>
    <t>Year 2</t>
  </si>
  <si>
    <t>Year 3</t>
  </si>
  <si>
    <t>Year 4</t>
  </si>
  <si>
    <t>Present Value Annualized Costs (AC)</t>
  </si>
  <si>
    <t>(AC)</t>
  </si>
  <si>
    <t>(AC)(1/[1+ i])</t>
  </si>
  <si>
    <r>
      <t>(AC)(1/[1+ i]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</si>
  <si>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(AC)(1/[1+ i]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</si>
  <si>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 = (AC)</t>
  </si>
  <si>
    <t xml:space="preserve"> = (AC)(0.91)</t>
  </si>
  <si>
    <t xml:space="preserve"> = (AC)(0.83)</t>
  </si>
  <si>
    <t xml:space="preserve"> = (AC)(0.75)</t>
  </si>
  <si>
    <t>Assume 25% of stations upgrade to EVR in each year</t>
  </si>
  <si>
    <t>Total Annual Equipment cost = (0.25)(AC) + (0.25)(AC)(0.91) + (0.25)(AC)(0.83) + (0.25)(AC)(0.75)</t>
  </si>
  <si>
    <t xml:space="preserve"> = (0.25)(AC) + (0.23)(AC) + (0.21)(AC) + (0.19)(AC)</t>
  </si>
  <si>
    <t xml:space="preserve"> = (0.88)(AC)</t>
  </si>
  <si>
    <r>
      <t>Corrected Equipment Costs</t>
    </r>
    <r>
      <rPr>
        <sz val="10"/>
        <rFont val="Arial"/>
        <family val="0"/>
      </rPr>
      <t xml:space="preserve"> by replacing 0.25 with 0.88 on Summary worksheet </t>
    </r>
  </si>
  <si>
    <t>Revised ISD emission reductions from 6.6 to 8.5 tons/day as calculated in tech review report.</t>
  </si>
  <si>
    <t>to correct error in original cost analysis.  This change increased equipment costs</t>
  </si>
  <si>
    <t>by a factor of 3.5 as compared to the Feb. 2000 EVR staff report.</t>
  </si>
  <si>
    <r>
      <t>Increased ISD "worst-case" equipment costs</t>
    </r>
    <r>
      <rPr>
        <sz val="10"/>
        <rFont val="Arial"/>
        <family val="0"/>
      </rPr>
      <t xml:space="preserve"> based on 6/13/02 Veeder-Root e-mail</t>
    </r>
  </si>
  <si>
    <t>tech rev</t>
  </si>
  <si>
    <t>now</t>
  </si>
  <si>
    <t>TLS-350ISD</t>
  </si>
  <si>
    <t>Dispenser Interface</t>
  </si>
  <si>
    <t>Flow sensor</t>
  </si>
  <si>
    <t>Inventory sensor</t>
  </si>
  <si>
    <t>not incl</t>
  </si>
  <si>
    <t>EVR Tech Review</t>
  </si>
  <si>
    <t>Now</t>
  </si>
  <si>
    <t xml:space="preserve">   Dispenser interface</t>
  </si>
  <si>
    <t xml:space="preserve">   Inventory sensor (ATG)</t>
  </si>
  <si>
    <t>The original EVR cost analysis used the 1997 total CA Gasoline throughput of  13.5 billion gallons.</t>
  </si>
  <si>
    <t>Adjust ISD costs to 1999 Dollars</t>
  </si>
  <si>
    <t xml:space="preserve">The original EVR cost analysis was in terms of 1999 dollars.  The ISD costs are in terms of  2001 </t>
  </si>
  <si>
    <t xml:space="preserve">dollars.  The ISD costs have been adjusted to 1999 values by 0.94.  </t>
  </si>
  <si>
    <t>This is the ratio of the 1999 Consumer Price Index (CPI) to the 2001 CPI (166.6/177.1 = 0.941).</t>
  </si>
  <si>
    <t>Update to 1999 Gasoline Throughput</t>
  </si>
  <si>
    <t>The throughput has been updated to the 1999 total CA gasoline throughput of 14.5 billion gallons</t>
  </si>
  <si>
    <t>Added costs for annual balance station field testing</t>
  </si>
  <si>
    <t>Currently, balance systems are required in most districts to be tested every five years.  EVR will</t>
  </si>
  <si>
    <t xml:space="preserve">require annual testing of balance systems as part of ISD maintenance &amp; calibration.  Costs are estimated </t>
  </si>
  <si>
    <t>Additional cost for annual balance system tests</t>
  </si>
  <si>
    <t>Clarified number of dispensers vs. number of fueling points for input variable table on summary page.</t>
  </si>
  <si>
    <t>For example, the original table denoted 2 dispensers for GDF1, but this is intended to be 1 dispenser</t>
  </si>
  <si>
    <t>with two fueling points as denoted in Table 2-12 of ISOR reference 26, USEPA Phase II Technical Guidance</t>
  </si>
  <si>
    <t>Number of Fueling Points per GDF (EPA, 1991)</t>
  </si>
  <si>
    <t>Revise ORVR emission reductions from 6.3 to 4.5 tons/day as calculated in tech review report.</t>
  </si>
  <si>
    <t>Total 1999 CA gasoline sales =</t>
  </si>
  <si>
    <t>OVERALL COST EFFECTIVENESS:</t>
  </si>
  <si>
    <t xml:space="preserve"> = (costs [$/yr])/(emissions[tons/day){1ton/2000lb}{1yr/365days}</t>
  </si>
  <si>
    <t>dollars/lb</t>
  </si>
  <si>
    <t>=</t>
  </si>
  <si>
    <t>Total costs/ Total Emission Benefits</t>
  </si>
  <si>
    <t xml:space="preserve">Revised Phase I Equipment and Installation Costs </t>
  </si>
  <si>
    <t>Cost data from site upgraded to EVR Phase I in summer 2002 used to revise Phase I cost esimates:</t>
  </si>
  <si>
    <t>a)</t>
  </si>
  <si>
    <t>double number of spill containers from 2.5 to 5 to include both vapor and liquid sides</t>
  </si>
  <si>
    <t>b)</t>
  </si>
  <si>
    <t>revised cost of spill container from $351 to $390 (includes one pump for draining)</t>
  </si>
  <si>
    <t>c)</t>
  </si>
  <si>
    <t>double number of adaptors from 2.5 to 5 to include both vapor and liquid sides</t>
  </si>
  <si>
    <t>d)</t>
  </si>
  <si>
    <t>revised cost of adaptor from $55 to $219 (includes caps and service kit)</t>
  </si>
  <si>
    <t>e)</t>
  </si>
  <si>
    <t>revise cost of P/V valve from $65 to $80</t>
  </si>
  <si>
    <t>Equipment Cost changes:</t>
  </si>
  <si>
    <t>Installation Cost changes:</t>
  </si>
  <si>
    <t>revise installation cost of P/V valve from $80 to $16</t>
  </si>
  <si>
    <t>add post-installation tank testing cost - $131</t>
  </si>
  <si>
    <t>revise installation cost of spill container from $160 to $190  (assume 5% direct burial replacement)</t>
  </si>
  <si>
    <t xml:space="preserve">revise installation cost of overfill protection and other tank parts from $160 to $155  </t>
  </si>
  <si>
    <t>revise installation cost of adaptor from $80 to $41</t>
  </si>
  <si>
    <t>NEW</t>
  </si>
  <si>
    <t xml:space="preserve">   Post-installation tank testing</t>
  </si>
  <si>
    <t>f)</t>
  </si>
  <si>
    <t>revised cost of drop tube/overfill protection from $178 to $400</t>
  </si>
  <si>
    <t>at $500 annually, as estimated by the SCAQMD vapor recovery rule staff report.</t>
  </si>
  <si>
    <t>Revised Summary Sheet to reflect ISD Exemption for GDF1</t>
  </si>
  <si>
    <t>EVR COST ANALYSIS SPREADSHEET AS OF OCTOBER 16,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</si>
</sst>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$&quot;#,##0.0\ ;\(&quot;$&quot;#,##0.0\)"/>
    <numFmt numFmtId="167" formatCode="0.000"/>
    <numFmt numFmtId="168" formatCode="0.0%"/>
    <numFmt numFmtId="169" formatCode="&quot;$&quot;#,##0.0_);\(&quot;$&quot;#,##0.0\)"/>
    <numFmt numFmtId="170" formatCode="&quot;$&quot;#,##0"/>
    <numFmt numFmtId="171" formatCode="&quot;$&quot;#,##0.0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4"/>
      <name val="Arial"/>
      <family val="0"/>
    </font>
    <font>
      <b/>
      <i/>
      <sz val="14"/>
      <name val="Arial"/>
      <family val="2"/>
    </font>
    <font>
      <b/>
      <sz val="10"/>
      <color indexed="48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9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9"/>
      </top>
      <bottom>
        <color indexed="9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double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9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 style="double">
        <color indexed="63"/>
      </left>
      <right>
        <color indexed="9"/>
      </right>
      <top>
        <color indexed="9"/>
      </top>
      <bottom style="double">
        <color indexed="63"/>
      </bottom>
    </border>
    <border>
      <left style="double">
        <color indexed="63"/>
      </left>
      <right>
        <color indexed="9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  <border>
      <left>
        <color indexed="9"/>
      </left>
      <right>
        <color indexed="63"/>
      </right>
      <top>
        <color indexed="9"/>
      </top>
      <bottom style="double">
        <color indexed="63"/>
      </bottom>
    </border>
    <border>
      <left>
        <color indexed="9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9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9"/>
      </left>
      <right>
        <color indexed="63"/>
      </right>
      <top style="double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63"/>
      </top>
      <bottom>
        <color indexed="9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/>
    </border>
    <border>
      <left style="double">
        <color indexed="63"/>
      </left>
      <right>
        <color indexed="63"/>
      </right>
      <top style="double">
        <color indexed="63"/>
      </top>
      <bottom style="double"/>
    </border>
    <border>
      <left>
        <color indexed="63"/>
      </left>
      <right style="double">
        <color indexed="63"/>
      </right>
      <top style="double">
        <color indexed="63"/>
      </top>
      <bottom style="double"/>
    </border>
    <border>
      <left style="double">
        <color indexed="63"/>
      </left>
      <right style="thin">
        <color indexed="63"/>
      </right>
      <top style="double">
        <color indexed="63"/>
      </top>
      <bottom style="double"/>
    </border>
    <border>
      <left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9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70">
    <xf numFmtId="0" fontId="0" fillId="0" borderId="0" xfId="0" applyAlignment="1">
      <alignment/>
    </xf>
    <xf numFmtId="0" fontId="6" fillId="0" borderId="2" xfId="0" applyFont="1" applyFill="1" applyAlignment="1">
      <alignment horizontal="center"/>
    </xf>
    <xf numFmtId="0" fontId="6" fillId="0" borderId="2" xfId="0" applyFont="1" applyFill="1" applyAlignment="1">
      <alignment/>
    </xf>
    <xf numFmtId="5" fontId="6" fillId="0" borderId="2" xfId="18" applyFont="1" applyFill="1" applyAlignment="1">
      <alignment horizontal="center"/>
    </xf>
    <xf numFmtId="5" fontId="6" fillId="0" borderId="3" xfId="18" applyFont="1" applyFill="1" applyAlignment="1">
      <alignment horizontal="center"/>
    </xf>
    <xf numFmtId="5" fontId="6" fillId="0" borderId="2" xfId="18" applyFont="1" applyFill="1" applyAlignment="1">
      <alignment horizontal="center"/>
    </xf>
    <xf numFmtId="0" fontId="6" fillId="0" borderId="2" xfId="18" applyFont="1" applyFill="1" applyAlignment="1">
      <alignment horizontal="center"/>
    </xf>
    <xf numFmtId="0" fontId="6" fillId="0" borderId="2" xfId="18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4" xfId="20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5" xfId="20" applyFont="1" applyFill="1" applyAlignment="1">
      <alignment horizontal="center"/>
    </xf>
    <xf numFmtId="2" fontId="6" fillId="0" borderId="0" xfId="20" applyFont="1" applyAlignment="1">
      <alignment horizontal="center"/>
    </xf>
    <xf numFmtId="2" fontId="6" fillId="0" borderId="0" xfId="20" applyFont="1" applyAlignment="1">
      <alignment/>
    </xf>
    <xf numFmtId="2" fontId="6" fillId="0" borderId="4" xfId="20" applyFont="1" applyFill="1" applyAlignment="1">
      <alignment/>
    </xf>
    <xf numFmtId="2" fontId="6" fillId="0" borderId="0" xfId="20" applyFont="1" applyAlignment="1">
      <alignment horizontal="center"/>
    </xf>
    <xf numFmtId="2" fontId="6" fillId="0" borderId="6" xfId="20" applyFont="1" applyFill="1" applyAlignment="1">
      <alignment horizontal="center"/>
    </xf>
    <xf numFmtId="2" fontId="6" fillId="0" borderId="7" xfId="2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8" xfId="0" applyFont="1" applyFill="1" applyAlignment="1">
      <alignment horizontal="center"/>
    </xf>
    <xf numFmtId="0" fontId="6" fillId="0" borderId="2" xfId="0" applyFont="1" applyFill="1" applyAlignment="1">
      <alignment/>
    </xf>
    <xf numFmtId="0" fontId="6" fillId="0" borderId="2" xfId="0" applyFont="1" applyFill="1" applyAlignment="1">
      <alignment horizontal="center"/>
    </xf>
    <xf numFmtId="0" fontId="5" fillId="0" borderId="0" xfId="0" applyFont="1" applyBorder="1" applyAlignment="1">
      <alignment horizontal="centerContinuous"/>
    </xf>
    <xf numFmtId="165" fontId="6" fillId="0" borderId="6" xfId="0" applyNumberFormat="1" applyFont="1" applyFill="1" applyAlignment="1">
      <alignment horizontal="center"/>
    </xf>
    <xf numFmtId="165" fontId="6" fillId="0" borderId="7" xfId="0" applyNumberFormat="1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5" fontId="6" fillId="0" borderId="9" xfId="18" applyFont="1" applyFill="1" applyAlignment="1">
      <alignment horizontal="center"/>
    </xf>
    <xf numFmtId="0" fontId="6" fillId="0" borderId="4" xfId="0" applyFont="1" applyFill="1" applyAlignment="1">
      <alignment horizontal="center"/>
    </xf>
    <xf numFmtId="0" fontId="6" fillId="0" borderId="10" xfId="0" applyFont="1" applyFill="1" applyAlignment="1">
      <alignment/>
    </xf>
    <xf numFmtId="5" fontId="6" fillId="0" borderId="10" xfId="18" applyFont="1" applyFill="1" applyAlignment="1">
      <alignment horizontal="center"/>
    </xf>
    <xf numFmtId="0" fontId="6" fillId="0" borderId="10" xfId="18" applyFont="1" applyFill="1" applyAlignment="1">
      <alignment horizontal="center"/>
    </xf>
    <xf numFmtId="0" fontId="6" fillId="0" borderId="11" xfId="0" applyFont="1" applyFill="1" applyAlignment="1">
      <alignment/>
    </xf>
    <xf numFmtId="5" fontId="6" fillId="0" borderId="12" xfId="18" applyFont="1" applyFill="1" applyAlignment="1">
      <alignment horizontal="center"/>
    </xf>
    <xf numFmtId="164" fontId="6" fillId="0" borderId="11" xfId="18" applyNumberFormat="1" applyFont="1" applyFill="1" applyAlignment="1">
      <alignment horizontal="center"/>
    </xf>
    <xf numFmtId="0" fontId="6" fillId="0" borderId="13" xfId="0" applyFont="1" applyFill="1" applyAlignment="1">
      <alignment horizontal="left"/>
    </xf>
    <xf numFmtId="0" fontId="6" fillId="0" borderId="14" xfId="0" applyFont="1" applyFill="1" applyAlignment="1">
      <alignment horizontal="center"/>
    </xf>
    <xf numFmtId="0" fontId="6" fillId="0" borderId="15" xfId="0" applyFont="1" applyFill="1" applyAlignment="1">
      <alignment horizontal="center"/>
    </xf>
    <xf numFmtId="5" fontId="6" fillId="0" borderId="11" xfId="18" applyFont="1" applyFill="1" applyAlignment="1">
      <alignment horizontal="center"/>
    </xf>
    <xf numFmtId="5" fontId="6" fillId="0" borderId="0" xfId="18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6" fillId="0" borderId="16" xfId="0" applyFont="1" applyFill="1" applyAlignment="1">
      <alignment/>
    </xf>
    <xf numFmtId="165" fontId="6" fillId="0" borderId="0" xfId="0" applyNumberFormat="1" applyFont="1" applyAlignment="1">
      <alignment horizontal="center"/>
    </xf>
    <xf numFmtId="165" fontId="6" fillId="0" borderId="5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4" xfId="0" applyNumberFormat="1" applyFont="1" applyFill="1" applyAlignment="1">
      <alignment horizontal="center"/>
    </xf>
    <xf numFmtId="0" fontId="6" fillId="0" borderId="9" xfId="0" applyFont="1" applyFill="1" applyAlignment="1">
      <alignment horizontal="center"/>
    </xf>
    <xf numFmtId="5" fontId="6" fillId="0" borderId="17" xfId="18" applyFont="1" applyFill="1" applyAlignment="1">
      <alignment horizontal="center"/>
    </xf>
    <xf numFmtId="5" fontId="6" fillId="0" borderId="18" xfId="18" applyFont="1" applyFill="1" applyAlignment="1">
      <alignment horizontal="center"/>
    </xf>
    <xf numFmtId="0" fontId="6" fillId="0" borderId="0" xfId="0" applyFont="1" applyBorder="1" applyAlignment="1">
      <alignment horizontal="centerContinuous"/>
    </xf>
    <xf numFmtId="5" fontId="6" fillId="0" borderId="19" xfId="18" applyFont="1" applyFill="1" applyAlignment="1">
      <alignment horizontal="center"/>
    </xf>
    <xf numFmtId="0" fontId="6" fillId="0" borderId="9" xfId="0" applyFont="1" applyFill="1" applyAlignment="1">
      <alignment horizontal="center"/>
    </xf>
    <xf numFmtId="0" fontId="6" fillId="0" borderId="9" xfId="0" applyFont="1" applyFill="1" applyAlignment="1">
      <alignment/>
    </xf>
    <xf numFmtId="5" fontId="6" fillId="0" borderId="17" xfId="18" applyFont="1" applyFill="1" applyAlignment="1">
      <alignment horizontal="center"/>
    </xf>
    <xf numFmtId="5" fontId="6" fillId="0" borderId="18" xfId="18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4" xfId="0" applyNumberFormat="1" applyFont="1" applyFill="1" applyAlignment="1">
      <alignment horizontal="center"/>
    </xf>
    <xf numFmtId="165" fontId="6" fillId="0" borderId="0" xfId="0" applyNumberFormat="1" applyFont="1" applyAlignment="1">
      <alignment/>
    </xf>
    <xf numFmtId="165" fontId="6" fillId="0" borderId="4" xfId="0" applyNumberFormat="1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5" fontId="6" fillId="2" borderId="20" xfId="18" applyFont="1" applyFill="1" applyAlignment="1">
      <alignment horizontal="center"/>
    </xf>
    <xf numFmtId="0" fontId="6" fillId="0" borderId="21" xfId="0" applyFont="1" applyFill="1" applyAlignment="1">
      <alignment/>
    </xf>
    <xf numFmtId="5" fontId="6" fillId="0" borderId="6" xfId="18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4" xfId="2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5" xfId="20" applyNumberFormat="1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5" xfId="20" applyNumberFormat="1" applyFont="1" applyFill="1" applyAlignment="1">
      <alignment horizontal="center"/>
    </xf>
    <xf numFmtId="5" fontId="6" fillId="0" borderId="4" xfId="18" applyFont="1" applyFill="1" applyAlignment="1">
      <alignment horizontal="center"/>
    </xf>
    <xf numFmtId="5" fontId="6" fillId="0" borderId="9" xfId="18" applyFont="1" applyFill="1" applyAlignment="1">
      <alignment horizontal="center"/>
    </xf>
    <xf numFmtId="5" fontId="6" fillId="0" borderId="22" xfId="18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Fill="1" applyAlignment="1">
      <alignment horizontal="center"/>
    </xf>
    <xf numFmtId="0" fontId="6" fillId="0" borderId="12" xfId="0" applyFont="1" applyFill="1" applyAlignment="1">
      <alignment/>
    </xf>
    <xf numFmtId="5" fontId="6" fillId="0" borderId="20" xfId="18" applyFont="1" applyFill="1" applyAlignment="1">
      <alignment horizontal="center"/>
    </xf>
    <xf numFmtId="5" fontId="6" fillId="0" borderId="23" xfId="18" applyFont="1" applyFill="1" applyAlignment="1">
      <alignment horizontal="center"/>
    </xf>
    <xf numFmtId="0" fontId="6" fillId="0" borderId="24" xfId="0" applyFont="1" applyFill="1" applyAlignment="1">
      <alignment/>
    </xf>
    <xf numFmtId="0" fontId="6" fillId="0" borderId="9" xfId="0" applyFont="1" applyFill="1" applyAlignment="1">
      <alignment/>
    </xf>
    <xf numFmtId="5" fontId="6" fillId="0" borderId="0" xfId="18" applyFont="1" applyAlignment="1">
      <alignment horizontal="center"/>
    </xf>
    <xf numFmtId="0" fontId="6" fillId="0" borderId="11" xfId="0" applyFont="1" applyFill="1" applyAlignment="1">
      <alignment horizontal="left"/>
    </xf>
    <xf numFmtId="5" fontId="6" fillId="2" borderId="11" xfId="18" applyFont="1" applyFill="1" applyAlignment="1">
      <alignment horizontal="center"/>
    </xf>
    <xf numFmtId="0" fontId="6" fillId="0" borderId="13" xfId="0" applyFont="1" applyFill="1" applyAlignment="1">
      <alignment horizontal="centerContinuous"/>
    </xf>
    <xf numFmtId="0" fontId="6" fillId="0" borderId="15" xfId="0" applyFont="1" applyFill="1" applyAlignment="1">
      <alignment horizontal="centerContinuous"/>
    </xf>
    <xf numFmtId="0" fontId="7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5" fontId="6" fillId="0" borderId="0" xfId="18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0" xfId="0" applyFont="1" applyFill="1" applyAlignment="1">
      <alignment horizontal="left"/>
    </xf>
    <xf numFmtId="0" fontId="6" fillId="0" borderId="10" xfId="0" applyFont="1" applyFill="1" applyAlignment="1">
      <alignment horizontal="center"/>
    </xf>
    <xf numFmtId="5" fontId="6" fillId="0" borderId="10" xfId="18" applyFont="1" applyFill="1" applyAlignment="1">
      <alignment horizontal="center"/>
    </xf>
    <xf numFmtId="0" fontId="11" fillId="0" borderId="0" xfId="0" applyFont="1" applyBorder="1" applyAlignment="1">
      <alignment/>
    </xf>
    <xf numFmtId="0" fontId="6" fillId="0" borderId="21" xfId="0" applyFont="1" applyFill="1" applyAlignment="1">
      <alignment/>
    </xf>
    <xf numFmtId="0" fontId="6" fillId="0" borderId="6" xfId="0" applyFont="1" applyFill="1" applyAlignment="1">
      <alignment horizontal="center"/>
    </xf>
    <xf numFmtId="5" fontId="6" fillId="0" borderId="6" xfId="18" applyFont="1" applyFill="1" applyAlignment="1">
      <alignment horizontal="center"/>
    </xf>
    <xf numFmtId="0" fontId="6" fillId="0" borderId="6" xfId="0" applyFont="1" applyFill="1" applyAlignment="1">
      <alignment/>
    </xf>
    <xf numFmtId="0" fontId="6" fillId="0" borderId="7" xfId="0" applyFont="1" applyFill="1" applyAlignment="1">
      <alignment horizontal="center"/>
    </xf>
    <xf numFmtId="0" fontId="6" fillId="0" borderId="25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6" fillId="0" borderId="4" xfId="0" applyFont="1" applyFill="1" applyAlignment="1">
      <alignment horizontal="center"/>
    </xf>
    <xf numFmtId="0" fontId="6" fillId="0" borderId="25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6" fillId="0" borderId="16" xfId="0" applyFont="1" applyFill="1" applyAlignment="1">
      <alignment/>
    </xf>
    <xf numFmtId="0" fontId="6" fillId="0" borderId="0" xfId="0" applyFont="1" applyAlignment="1">
      <alignment horizontal="center"/>
    </xf>
    <xf numFmtId="5" fontId="6" fillId="0" borderId="0" xfId="18" applyFont="1" applyFill="1" applyAlignment="1">
      <alignment horizontal="center"/>
    </xf>
    <xf numFmtId="0" fontId="7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27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8" xfId="0" applyFill="1" applyBorder="1" applyAlignment="1">
      <alignment/>
    </xf>
    <xf numFmtId="0" fontId="9" fillId="0" borderId="26" xfId="0" applyFill="1" applyBorder="1" applyAlignment="1">
      <alignment/>
    </xf>
    <xf numFmtId="0" fontId="9" fillId="0" borderId="3" xfId="0" applyFill="1" applyBorder="1" applyAlignment="1">
      <alignment/>
    </xf>
    <xf numFmtId="0" fontId="9" fillId="0" borderId="28" xfId="0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66" fontId="9" fillId="0" borderId="29" xfId="17" applyNumberFormat="1" applyFont="1" applyFill="1" applyBorder="1" applyAlignment="1">
      <alignment horizontal="center"/>
    </xf>
    <xf numFmtId="166" fontId="9" fillId="0" borderId="30" xfId="17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Continuous"/>
    </xf>
    <xf numFmtId="167" fontId="9" fillId="0" borderId="29" xfId="20" applyNumberFormat="1" applyFont="1" applyFill="1" applyBorder="1" applyAlignment="1">
      <alignment horizontal="center"/>
    </xf>
    <xf numFmtId="167" fontId="9" fillId="0" borderId="27" xfId="2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8" xfId="0" applyFill="1" applyBorder="1" applyAlignment="1">
      <alignment/>
    </xf>
    <xf numFmtId="0" fontId="6" fillId="0" borderId="26" xfId="0" applyFill="1" applyBorder="1" applyAlignment="1">
      <alignment/>
    </xf>
    <xf numFmtId="0" fontId="6" fillId="0" borderId="3" xfId="0" applyFill="1" applyBorder="1" applyAlignment="1">
      <alignment/>
    </xf>
    <xf numFmtId="0" fontId="6" fillId="0" borderId="27" xfId="0" applyFill="1" applyBorder="1" applyAlignment="1">
      <alignment/>
    </xf>
    <xf numFmtId="0" fontId="5" fillId="0" borderId="0" xfId="0" applyBorder="1" applyAlignment="1">
      <alignment/>
    </xf>
    <xf numFmtId="0" fontId="6" fillId="0" borderId="38" xfId="0" applyFont="1" applyFill="1" applyBorder="1" applyAlignment="1">
      <alignment horizontal="centerContinuous"/>
    </xf>
    <xf numFmtId="0" fontId="6" fillId="0" borderId="39" xfId="0" applyFont="1" applyFill="1" applyBorder="1" applyAlignment="1">
      <alignment horizontal="centerContinuous"/>
    </xf>
    <xf numFmtId="0" fontId="6" fillId="0" borderId="40" xfId="0" applyFont="1" applyFill="1" applyBorder="1" applyAlignment="1">
      <alignment horizontal="centerContinuous"/>
    </xf>
    <xf numFmtId="0" fontId="6" fillId="0" borderId="40" xfId="0" applyFont="1" applyFill="1" applyBorder="1" applyAlignment="1">
      <alignment horizontal="centerContinuous"/>
    </xf>
    <xf numFmtId="0" fontId="6" fillId="0" borderId="4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165" fontId="6" fillId="0" borderId="3" xfId="20" applyNumberFormat="1" applyFont="1" applyFill="1" applyBorder="1" applyAlignment="1">
      <alignment horizontal="center"/>
    </xf>
    <xf numFmtId="165" fontId="6" fillId="0" borderId="27" xfId="2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Continuous"/>
    </xf>
    <xf numFmtId="3" fontId="6" fillId="0" borderId="26" xfId="16" applyFont="1" applyFill="1" applyBorder="1" applyAlignment="1">
      <alignment horizontal="center"/>
    </xf>
    <xf numFmtId="168" fontId="6" fillId="0" borderId="3" xfId="23" applyNumberFormat="1" applyFont="1" applyFill="1" applyBorder="1" applyAlignment="1">
      <alignment horizontal="center"/>
    </xf>
    <xf numFmtId="3" fontId="6" fillId="0" borderId="3" xfId="16" applyFont="1" applyFill="1" applyBorder="1" applyAlignment="1">
      <alignment horizontal="center"/>
    </xf>
    <xf numFmtId="0" fontId="6" fillId="0" borderId="3" xfId="23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6" fillId="0" borderId="11" xfId="16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2" fontId="6" fillId="0" borderId="46" xfId="20" applyFont="1" applyFill="1" applyBorder="1" applyAlignment="1">
      <alignment horizontal="center"/>
    </xf>
    <xf numFmtId="2" fontId="6" fillId="0" borderId="27" xfId="2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Continuous"/>
    </xf>
    <xf numFmtId="0" fontId="6" fillId="0" borderId="48" xfId="0" applyFont="1" applyFill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49" xfId="0" applyFont="1" applyFill="1" applyBorder="1" applyAlignment="1">
      <alignment horizontal="centerContinuous"/>
    </xf>
    <xf numFmtId="0" fontId="6" fillId="0" borderId="50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 horizontal="centerContinuous"/>
    </xf>
    <xf numFmtId="2" fontId="6" fillId="0" borderId="29" xfId="20" applyFont="1" applyFill="1" applyBorder="1" applyAlignment="1">
      <alignment horizontal="center"/>
    </xf>
    <xf numFmtId="10" fontId="6" fillId="0" borderId="0" xfId="23" applyBorder="1" applyAlignment="1">
      <alignment/>
    </xf>
    <xf numFmtId="3" fontId="6" fillId="0" borderId="0" xfId="16" applyBorder="1" applyAlignment="1">
      <alignment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43" xfId="0" applyFill="1" applyBorder="1" applyAlignment="1">
      <alignment/>
    </xf>
    <xf numFmtId="0" fontId="6" fillId="0" borderId="54" xfId="0" applyFill="1" applyBorder="1" applyAlignment="1">
      <alignment/>
    </xf>
    <xf numFmtId="0" fontId="6" fillId="0" borderId="55" xfId="0" applyFill="1" applyBorder="1" applyAlignment="1">
      <alignment/>
    </xf>
    <xf numFmtId="0" fontId="6" fillId="0" borderId="56" xfId="0" applyFill="1" applyBorder="1" applyAlignment="1">
      <alignment/>
    </xf>
    <xf numFmtId="0" fontId="6" fillId="0" borderId="57" xfId="0" applyFill="1" applyBorder="1" applyAlignment="1">
      <alignment/>
    </xf>
    <xf numFmtId="0" fontId="6" fillId="0" borderId="0" xfId="0" applyBorder="1" applyAlignment="1">
      <alignment/>
    </xf>
    <xf numFmtId="0" fontId="6" fillId="0" borderId="58" xfId="0" applyFont="1" applyFill="1" applyBorder="1" applyAlignment="1">
      <alignment horizontal="centerContinuous"/>
    </xf>
    <xf numFmtId="165" fontId="6" fillId="0" borderId="49" xfId="20" applyNumberFormat="1" applyFont="1" applyFill="1" applyBorder="1" applyAlignment="1">
      <alignment horizontal="center"/>
    </xf>
    <xf numFmtId="165" fontId="6" fillId="0" borderId="59" xfId="20" applyNumberFormat="1" applyFont="1" applyFill="1" applyBorder="1" applyAlignment="1">
      <alignment horizontal="center"/>
    </xf>
    <xf numFmtId="165" fontId="6" fillId="0" borderId="60" xfId="20" applyNumberFormat="1" applyFont="1" applyFill="1" applyBorder="1" applyAlignment="1">
      <alignment horizontal="center"/>
    </xf>
    <xf numFmtId="0" fontId="6" fillId="0" borderId="61" xfId="20" applyNumberFormat="1" applyFont="1" applyFill="1" applyBorder="1" applyAlignment="1">
      <alignment/>
    </xf>
    <xf numFmtId="0" fontId="6" fillId="0" borderId="62" xfId="20" applyNumberFormat="1" applyFont="1" applyFill="1" applyBorder="1" applyAlignment="1">
      <alignment/>
    </xf>
    <xf numFmtId="0" fontId="6" fillId="0" borderId="63" xfId="20" applyNumberFormat="1" applyFont="1" applyFill="1" applyBorder="1" applyAlignment="1">
      <alignment/>
    </xf>
    <xf numFmtId="7" fontId="6" fillId="0" borderId="0" xfId="17" applyFont="1" applyBorder="1" applyAlignment="1">
      <alignment horizontal="left"/>
    </xf>
    <xf numFmtId="2" fontId="5" fillId="0" borderId="11" xfId="20" applyFont="1" applyFill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7" fontId="6" fillId="0" borderId="8" xfId="17" applyFont="1" applyFill="1" applyBorder="1" applyAlignment="1">
      <alignment horizontal="center"/>
    </xf>
    <xf numFmtId="5" fontId="6" fillId="0" borderId="2" xfId="18" applyFont="1" applyFill="1" applyBorder="1" applyAlignment="1">
      <alignment horizontal="center"/>
    </xf>
    <xf numFmtId="7" fontId="6" fillId="0" borderId="8" xfId="17" applyFont="1" applyFill="1" applyBorder="1" applyAlignment="1">
      <alignment horizontal="center"/>
    </xf>
    <xf numFmtId="5" fontId="6" fillId="0" borderId="53" xfId="18" applyFont="1" applyFill="1" applyBorder="1" applyAlignment="1">
      <alignment horizontal="center"/>
    </xf>
    <xf numFmtId="5" fontId="5" fillId="0" borderId="8" xfId="18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2" fontId="5" fillId="0" borderId="8" xfId="20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0" fontId="10" fillId="0" borderId="0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28" xfId="0" applyFill="1" applyBorder="1" applyAlignment="1">
      <alignment/>
    </xf>
    <xf numFmtId="0" fontId="6" fillId="0" borderId="8" xfId="0" applyFill="1" applyBorder="1" applyAlignment="1">
      <alignment/>
    </xf>
    <xf numFmtId="0" fontId="6" fillId="0" borderId="64" xfId="0" applyFill="1" applyBorder="1" applyAlignment="1">
      <alignment/>
    </xf>
    <xf numFmtId="3" fontId="6" fillId="0" borderId="8" xfId="16" applyFont="1" applyFill="1" applyBorder="1" applyAlignment="1">
      <alignment horizontal="center"/>
    </xf>
    <xf numFmtId="0" fontId="6" fillId="0" borderId="29" xfId="0" applyFont="1" applyFill="1" applyAlignment="1">
      <alignment/>
    </xf>
    <xf numFmtId="5" fontId="6" fillId="0" borderId="65" xfId="18" applyFont="1" applyFill="1" applyAlignment="1">
      <alignment horizontal="center"/>
    </xf>
    <xf numFmtId="0" fontId="6" fillId="0" borderId="29" xfId="0" applyFont="1" applyFill="1" applyAlignment="1">
      <alignment/>
    </xf>
    <xf numFmtId="0" fontId="6" fillId="0" borderId="29" xfId="0" applyFont="1" applyFill="1" applyAlignment="1">
      <alignment horizontal="center"/>
    </xf>
    <xf numFmtId="5" fontId="6" fillId="0" borderId="3" xfId="18" applyFont="1" applyFill="1" applyAlignment="1">
      <alignment horizontal="center"/>
    </xf>
    <xf numFmtId="0" fontId="6" fillId="0" borderId="3" xfId="0" applyFont="1" applyFill="1" applyAlignment="1">
      <alignment horizontal="center"/>
    </xf>
    <xf numFmtId="3" fontId="6" fillId="0" borderId="3" xfId="16" applyFont="1" applyFill="1" applyAlignment="1">
      <alignment horizontal="center"/>
    </xf>
    <xf numFmtId="0" fontId="6" fillId="0" borderId="29" xfId="16" applyFont="1" applyFill="1" applyAlignment="1">
      <alignment horizontal="center"/>
    </xf>
    <xf numFmtId="0" fontId="6" fillId="0" borderId="42" xfId="0" applyFont="1" applyFill="1" applyAlignment="1">
      <alignment/>
    </xf>
    <xf numFmtId="0" fontId="6" fillId="0" borderId="42" xfId="0" applyFont="1" applyFill="1" applyAlignment="1">
      <alignment horizontal="center"/>
    </xf>
    <xf numFmtId="0" fontId="6" fillId="0" borderId="11" xfId="0" applyFont="1" applyFill="1" applyAlignment="1">
      <alignment/>
    </xf>
    <xf numFmtId="5" fontId="6" fillId="0" borderId="2" xfId="18" applyFont="1" applyFill="1" applyBorder="1" applyAlignment="1">
      <alignment horizontal="center"/>
    </xf>
    <xf numFmtId="5" fontId="6" fillId="0" borderId="2" xfId="18" applyFont="1" applyFill="1" applyBorder="1" applyAlignment="1">
      <alignment horizontal="center"/>
    </xf>
    <xf numFmtId="3" fontId="6" fillId="0" borderId="2" xfId="16" applyFont="1" applyFill="1" applyBorder="1" applyAlignment="1">
      <alignment horizontal="center"/>
    </xf>
    <xf numFmtId="0" fontId="6" fillId="0" borderId="2" xfId="18" applyFont="1" applyFill="1" applyBorder="1" applyAlignment="1">
      <alignment horizontal="center"/>
    </xf>
    <xf numFmtId="5" fontId="6" fillId="0" borderId="3" xfId="18" applyFont="1" applyFill="1" applyBorder="1" applyAlignment="1">
      <alignment horizontal="center"/>
    </xf>
    <xf numFmtId="0" fontId="6" fillId="0" borderId="66" xfId="0" applyFont="1" applyFill="1" applyAlignment="1">
      <alignment/>
    </xf>
    <xf numFmtId="5" fontId="6" fillId="0" borderId="66" xfId="18" applyFont="1" applyFill="1" applyBorder="1" applyAlignment="1">
      <alignment horizontal="center"/>
    </xf>
    <xf numFmtId="0" fontId="6" fillId="0" borderId="27" xfId="0" applyFont="1" applyFill="1" applyAlignment="1">
      <alignment/>
    </xf>
    <xf numFmtId="5" fontId="6" fillId="0" borderId="27" xfId="18" applyFont="1" applyFill="1" applyBorder="1" applyAlignment="1">
      <alignment horizontal="center"/>
    </xf>
    <xf numFmtId="3" fontId="6" fillId="0" borderId="0" xfId="16" applyFont="1" applyAlignment="1">
      <alignment horizontal="centerContinuous"/>
    </xf>
    <xf numFmtId="10" fontId="6" fillId="0" borderId="0" xfId="23" applyFont="1" applyAlignment="1">
      <alignment horizontal="centerContinuous"/>
    </xf>
    <xf numFmtId="0" fontId="6" fillId="0" borderId="67" xfId="0" applyFont="1" applyFill="1" applyAlignment="1">
      <alignment horizontal="centerContinuous"/>
    </xf>
    <xf numFmtId="3" fontId="6" fillId="0" borderId="68" xfId="16" applyFont="1" applyFill="1" applyAlignment="1">
      <alignment horizontal="centerContinuous"/>
    </xf>
    <xf numFmtId="10" fontId="6" fillId="0" borderId="58" xfId="23" applyFont="1" applyFill="1" applyAlignment="1">
      <alignment horizontal="centerContinuous"/>
    </xf>
    <xf numFmtId="0" fontId="6" fillId="0" borderId="68" xfId="0" applyFont="1" applyFill="1" applyAlignment="1">
      <alignment horizontal="centerContinuous"/>
    </xf>
    <xf numFmtId="0" fontId="6" fillId="0" borderId="58" xfId="0" applyFont="1" applyFill="1" applyAlignment="1">
      <alignment horizontal="centerContinuous"/>
    </xf>
    <xf numFmtId="0" fontId="6" fillId="0" borderId="69" xfId="0" applyFont="1" applyFill="1" applyAlignment="1">
      <alignment/>
    </xf>
    <xf numFmtId="3" fontId="6" fillId="0" borderId="0" xfId="16" applyFont="1" applyFill="1" applyAlignment="1">
      <alignment horizontal="center"/>
    </xf>
    <xf numFmtId="10" fontId="6" fillId="0" borderId="41" xfId="23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41" xfId="0" applyFont="1" applyFill="1" applyAlignment="1">
      <alignment horizontal="center"/>
    </xf>
    <xf numFmtId="3" fontId="6" fillId="0" borderId="55" xfId="16" applyFont="1" applyFill="1" applyAlignment="1">
      <alignment horizontal="centerContinuous"/>
    </xf>
    <xf numFmtId="0" fontId="6" fillId="0" borderId="60" xfId="0" applyFont="1" applyFill="1" applyAlignment="1">
      <alignment horizontal="centerContinuous"/>
    </xf>
    <xf numFmtId="10" fontId="6" fillId="0" borderId="42" xfId="23" applyFont="1" applyFill="1" applyAlignment="1">
      <alignment horizontal="center"/>
    </xf>
    <xf numFmtId="3" fontId="6" fillId="0" borderId="70" xfId="16" applyFont="1" applyFill="1" applyAlignment="1">
      <alignment horizontal="centerContinuous"/>
    </xf>
    <xf numFmtId="0" fontId="6" fillId="0" borderId="9" xfId="0" applyFont="1" applyFill="1" applyAlignment="1">
      <alignment horizontal="centerContinuous"/>
    </xf>
    <xf numFmtId="10" fontId="6" fillId="0" borderId="26" xfId="23" applyFont="1" applyFill="1" applyAlignment="1">
      <alignment horizontal="center"/>
    </xf>
    <xf numFmtId="10" fontId="6" fillId="2" borderId="8" xfId="23" applyFont="1" applyFill="1" applyAlignment="1">
      <alignment horizontal="center"/>
    </xf>
    <xf numFmtId="3" fontId="6" fillId="0" borderId="33" xfId="16" applyFont="1" applyFill="1" applyAlignment="1">
      <alignment horizontal="centerContinuous"/>
    </xf>
    <xf numFmtId="0" fontId="6" fillId="0" borderId="37" xfId="0" applyFont="1" applyFill="1" applyAlignment="1">
      <alignment horizontal="centerContinuous"/>
    </xf>
    <xf numFmtId="10" fontId="6" fillId="0" borderId="3" xfId="23" applyFont="1" applyFill="1" applyAlignment="1">
      <alignment horizontal="center"/>
    </xf>
    <xf numFmtId="3" fontId="6" fillId="0" borderId="71" xfId="16" applyFont="1" applyFill="1" applyAlignment="1">
      <alignment horizontal="centerContinuous"/>
    </xf>
    <xf numFmtId="0" fontId="6" fillId="0" borderId="72" xfId="0" applyFont="1" applyFill="1" applyAlignment="1">
      <alignment horizontal="centerContinuous"/>
    </xf>
    <xf numFmtId="10" fontId="6" fillId="0" borderId="34" xfId="23" applyFont="1" applyFill="1" applyAlignment="1">
      <alignment horizontal="center"/>
    </xf>
    <xf numFmtId="3" fontId="6" fillId="0" borderId="0" xfId="16" applyFont="1" applyAlignment="1">
      <alignment horizontal="center"/>
    </xf>
    <xf numFmtId="10" fontId="6" fillId="0" borderId="0" xfId="23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7" fontId="6" fillId="0" borderId="73" xfId="17" applyFont="1" applyFill="1" applyBorder="1" applyAlignment="1">
      <alignment horizontal="center"/>
    </xf>
    <xf numFmtId="7" fontId="6" fillId="0" borderId="46" xfId="17" applyFont="1" applyFill="1" applyBorder="1" applyAlignment="1">
      <alignment horizontal="center"/>
    </xf>
    <xf numFmtId="7" fontId="6" fillId="0" borderId="29" xfId="17" applyFont="1" applyFill="1" applyBorder="1" applyAlignment="1">
      <alignment horizontal="center"/>
    </xf>
    <xf numFmtId="7" fontId="6" fillId="0" borderId="74" xfId="17" applyFont="1" applyFill="1" applyBorder="1" applyAlignment="1">
      <alignment horizontal="center"/>
    </xf>
    <xf numFmtId="7" fontId="6" fillId="0" borderId="75" xfId="17" applyFont="1" applyFill="1" applyBorder="1" applyAlignment="1">
      <alignment horizontal="center"/>
    </xf>
    <xf numFmtId="7" fontId="5" fillId="0" borderId="11" xfId="17" applyFont="1" applyFill="1" applyBorder="1" applyAlignment="1">
      <alignment horizontal="center"/>
    </xf>
    <xf numFmtId="5" fontId="6" fillId="3" borderId="0" xfId="18" applyFont="1" applyFill="1" applyAlignment="1">
      <alignment horizontal="center"/>
    </xf>
    <xf numFmtId="5" fontId="6" fillId="3" borderId="0" xfId="18" applyFont="1" applyFill="1" applyAlignment="1">
      <alignment horizontal="center"/>
    </xf>
    <xf numFmtId="0" fontId="6" fillId="4" borderId="24" xfId="0" applyFont="1" applyFill="1" applyAlignment="1">
      <alignment/>
    </xf>
    <xf numFmtId="0" fontId="6" fillId="4" borderId="9" xfId="0" applyFont="1" applyFill="1" applyAlignment="1">
      <alignment horizontal="center"/>
    </xf>
    <xf numFmtId="5" fontId="6" fillId="4" borderId="9" xfId="18" applyFont="1" applyFill="1" applyAlignment="1">
      <alignment horizontal="center"/>
    </xf>
    <xf numFmtId="0" fontId="6" fillId="4" borderId="9" xfId="0" applyFont="1" applyFill="1" applyAlignment="1">
      <alignment/>
    </xf>
    <xf numFmtId="5" fontId="6" fillId="4" borderId="17" xfId="18" applyFont="1" applyFill="1" applyAlignment="1">
      <alignment horizontal="center"/>
    </xf>
    <xf numFmtId="0" fontId="6" fillId="0" borderId="6" xfId="0" applyFont="1" applyFill="1" applyAlignment="1">
      <alignment horizontal="center"/>
    </xf>
    <xf numFmtId="0" fontId="6" fillId="0" borderId="0" xfId="0" applyFont="1" applyAlignment="1">
      <alignment horizontal="center"/>
    </xf>
    <xf numFmtId="5" fontId="6" fillId="4" borderId="0" xfId="18" applyFont="1" applyFill="1" applyAlignment="1">
      <alignment horizontal="center"/>
    </xf>
    <xf numFmtId="5" fontId="6" fillId="4" borderId="0" xfId="18" applyNumberFormat="1" applyFont="1" applyFill="1" applyAlignment="1">
      <alignment horizontal="center"/>
    </xf>
    <xf numFmtId="170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4" borderId="0" xfId="0" applyFont="1" applyFill="1" applyAlignment="1">
      <alignment/>
    </xf>
    <xf numFmtId="5" fontId="6" fillId="4" borderId="0" xfId="0" applyNumberFormat="1" applyFont="1" applyFill="1" applyAlignment="1">
      <alignment/>
    </xf>
    <xf numFmtId="5" fontId="6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2" fontId="6" fillId="4" borderId="0" xfId="20" applyFont="1" applyFill="1" applyAlignment="1">
      <alignment horizontal="center"/>
    </xf>
    <xf numFmtId="0" fontId="3" fillId="0" borderId="0" xfId="0" applyFont="1" applyAlignment="1">
      <alignment/>
    </xf>
    <xf numFmtId="0" fontId="12" fillId="4" borderId="0" xfId="0" applyFont="1" applyFill="1" applyAlignment="1">
      <alignment/>
    </xf>
    <xf numFmtId="0" fontId="0" fillId="4" borderId="0" xfId="0" applyFill="1" applyAlignment="1">
      <alignment/>
    </xf>
    <xf numFmtId="6" fontId="0" fillId="0" borderId="0" xfId="0" applyNumberFormat="1" applyAlignment="1">
      <alignment/>
    </xf>
    <xf numFmtId="0" fontId="6" fillId="4" borderId="25" xfId="0" applyFont="1" applyFill="1" applyAlignment="1">
      <alignment/>
    </xf>
    <xf numFmtId="0" fontId="6" fillId="4" borderId="0" xfId="0" applyFont="1" applyFill="1" applyAlignment="1">
      <alignment horizontal="center"/>
    </xf>
    <xf numFmtId="170" fontId="6" fillId="4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76" xfId="0" applyBorder="1" applyAlignment="1">
      <alignment horizontal="right"/>
    </xf>
    <xf numFmtId="6" fontId="0" fillId="0" borderId="7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65" fontId="6" fillId="4" borderId="3" xfId="20" applyNumberFormat="1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6" fontId="0" fillId="0" borderId="76" xfId="0" applyNumberFormat="1" applyBorder="1" applyAlignment="1">
      <alignment horizontal="center"/>
    </xf>
    <xf numFmtId="170" fontId="0" fillId="4" borderId="76" xfId="0" applyNumberFormat="1" applyFill="1" applyBorder="1" applyAlignment="1">
      <alignment horizontal="center"/>
    </xf>
    <xf numFmtId="0" fontId="6" fillId="0" borderId="25" xfId="0" applyFont="1" applyFill="1" applyAlignment="1">
      <alignment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4" borderId="72" xfId="0" applyFont="1" applyFill="1" applyBorder="1" applyAlignment="1">
      <alignment horizontal="left"/>
    </xf>
    <xf numFmtId="165" fontId="6" fillId="4" borderId="26" xfId="2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71" fontId="14" fillId="0" borderId="0" xfId="0" applyNumberFormat="1" applyFont="1" applyBorder="1" applyAlignment="1">
      <alignment/>
    </xf>
    <xf numFmtId="7" fontId="5" fillId="0" borderId="11" xfId="17" applyFont="1" applyFill="1" applyBorder="1" applyAlignment="1">
      <alignment horizontal="center"/>
    </xf>
    <xf numFmtId="0" fontId="6" fillId="0" borderId="0" xfId="0" applyFill="1" applyBorder="1" applyAlignment="1">
      <alignment/>
    </xf>
    <xf numFmtId="7" fontId="5" fillId="0" borderId="0" xfId="17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0" fontId="6" fillId="0" borderId="0" xfId="20" applyNumberFormat="1" applyFont="1" applyFill="1" applyBorder="1" applyAlignment="1">
      <alignment horizontal="right"/>
    </xf>
    <xf numFmtId="0" fontId="6" fillId="5" borderId="0" xfId="0" applyFont="1" applyFill="1" applyAlignment="1">
      <alignment horizontal="center"/>
    </xf>
    <xf numFmtId="0" fontId="6" fillId="5" borderId="6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70" fontId="6" fillId="5" borderId="0" xfId="0" applyNumberFormat="1" applyFont="1" applyFill="1" applyAlignment="1">
      <alignment horizontal="center"/>
    </xf>
    <xf numFmtId="170" fontId="6" fillId="5" borderId="0" xfId="0" applyNumberFormat="1" applyFont="1" applyFill="1" applyAlignment="1">
      <alignment horizontal="center"/>
    </xf>
    <xf numFmtId="5" fontId="6" fillId="6" borderId="20" xfId="18" applyFont="1" applyFill="1" applyBorder="1" applyAlignment="1">
      <alignment horizontal="center"/>
    </xf>
    <xf numFmtId="5" fontId="6" fillId="6" borderId="23" xfId="18" applyFont="1" applyFill="1" applyBorder="1" applyAlignment="1">
      <alignment horizontal="center"/>
    </xf>
    <xf numFmtId="0" fontId="6" fillId="0" borderId="77" xfId="0" applyFont="1" applyFill="1" applyBorder="1" applyAlignment="1">
      <alignment horizontal="left"/>
    </xf>
    <xf numFmtId="5" fontId="6" fillId="2" borderId="77" xfId="18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Continuous"/>
    </xf>
    <xf numFmtId="0" fontId="6" fillId="0" borderId="79" xfId="0" applyFont="1" applyFill="1" applyBorder="1" applyAlignment="1">
      <alignment horizontal="centerContinuous"/>
    </xf>
    <xf numFmtId="5" fontId="6" fillId="2" borderId="80" xfId="18" applyFont="1" applyFill="1" applyBorder="1" applyAlignment="1">
      <alignment horizontal="center"/>
    </xf>
    <xf numFmtId="0" fontId="6" fillId="4" borderId="71" xfId="0" applyFont="1" applyFill="1" applyBorder="1" applyAlignment="1">
      <alignment horizontal="left"/>
    </xf>
    <xf numFmtId="0" fontId="6" fillId="4" borderId="81" xfId="0" applyFont="1" applyFill="1" applyBorder="1" applyAlignment="1">
      <alignment horizontal="centerContinuous"/>
    </xf>
    <xf numFmtId="2" fontId="6" fillId="4" borderId="46" xfId="20" applyFont="1" applyFill="1" applyBorder="1" applyAlignment="1">
      <alignment horizontal="center"/>
    </xf>
    <xf numFmtId="7" fontId="6" fillId="4" borderId="73" xfId="17" applyFont="1" applyFill="1" applyBorder="1" applyAlignment="1">
      <alignment horizontal="center"/>
    </xf>
    <xf numFmtId="7" fontId="6" fillId="4" borderId="46" xfId="17" applyFont="1" applyFill="1" applyBorder="1" applyAlignment="1">
      <alignment horizontal="center"/>
    </xf>
    <xf numFmtId="7" fontId="6" fillId="4" borderId="74" xfId="17" applyFont="1" applyFill="1" applyBorder="1" applyAlignment="1">
      <alignment horizontal="center"/>
    </xf>
    <xf numFmtId="7" fontId="5" fillId="3" borderId="11" xfId="17" applyFont="1" applyFill="1" applyBorder="1" applyAlignment="1">
      <alignment horizontal="center"/>
    </xf>
    <xf numFmtId="6" fontId="0" fillId="0" borderId="76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6" fillId="0" borderId="8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Fig. VI-2
Per-Gallon Increase per Model GDF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3"/>
          <c:w val="0.82725"/>
          <c:h val="0.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PGCbyGDF!$C$4:$C$4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PGCbyGDF!$B$6:$B$11</c:f>
              <c:strCache>
                <c:ptCount val="6"/>
                <c:pt idx="0">
                  <c:v>Phase I</c:v>
                </c:pt>
                <c:pt idx="1">
                  <c:v>Phase II</c:v>
                </c:pt>
                <c:pt idx="2">
                  <c:v>ORVR Compatibility</c:v>
                </c:pt>
                <c:pt idx="3">
                  <c:v>Liquid Retention</c:v>
                </c:pt>
                <c:pt idx="4">
                  <c:v>Spillage/Dripless Nozzle</c:v>
                </c:pt>
                <c:pt idx="5">
                  <c:v>In-Station Diagnostics</c:v>
                </c:pt>
              </c:strCache>
            </c:strRef>
          </c:cat>
          <c:val>
            <c:numRef>
              <c:f>PGCbyGDF!$C$6:$C$11</c:f>
              <c:numCache>
                <c:ptCount val="6"/>
                <c:pt idx="0">
                  <c:v>0.7039934415901521</c:v>
                </c:pt>
                <c:pt idx="1">
                  <c:v>1.652388918822674</c:v>
                </c:pt>
                <c:pt idx="2">
                  <c:v>0.1566459153205896</c:v>
                </c:pt>
                <c:pt idx="3">
                  <c:v>0.06258620481895392</c:v>
                </c:pt>
                <c:pt idx="4">
                  <c:v>0.057887516242614206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PGCbyGDF!$D$4:$D$4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PGCbyGDF!$B$6:$B$11</c:f>
              <c:strCache>
                <c:ptCount val="6"/>
                <c:pt idx="0">
                  <c:v>Phase I</c:v>
                </c:pt>
                <c:pt idx="1">
                  <c:v>Phase II</c:v>
                </c:pt>
                <c:pt idx="2">
                  <c:v>ORVR Compatibility</c:v>
                </c:pt>
                <c:pt idx="3">
                  <c:v>Liquid Retention</c:v>
                </c:pt>
                <c:pt idx="4">
                  <c:v>Spillage/Dripless Nozzle</c:v>
                </c:pt>
                <c:pt idx="5">
                  <c:v>In-Station Diagnostics</c:v>
                </c:pt>
              </c:strCache>
            </c:strRef>
          </c:cat>
          <c:val>
            <c:numRef>
              <c:f>PGCbyGDF!$D$6:$D$11</c:f>
              <c:numCache>
                <c:ptCount val="6"/>
                <c:pt idx="0">
                  <c:v>0.22585572469862925</c:v>
                </c:pt>
                <c:pt idx="1">
                  <c:v>0.5740360659657695</c:v>
                </c:pt>
                <c:pt idx="2">
                  <c:v>0.06019901691125514</c:v>
                </c:pt>
                <c:pt idx="3">
                  <c:v>0.02328429515203804</c:v>
                </c:pt>
                <c:pt idx="4">
                  <c:v>0.018585606575698313</c:v>
                </c:pt>
                <c:pt idx="5">
                  <c:v>0.4899378393640674</c:v>
                </c:pt>
              </c:numCache>
            </c:numRef>
          </c:val>
        </c:ser>
        <c:ser>
          <c:idx val="2"/>
          <c:order val="2"/>
          <c:tx>
            <c:strRef>
              <c:f>PGCbyGDF!$E$4:$E$4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PGCbyGDF!$B$6:$B$11</c:f>
              <c:strCache>
                <c:ptCount val="6"/>
                <c:pt idx="0">
                  <c:v>Phase I</c:v>
                </c:pt>
                <c:pt idx="1">
                  <c:v>Phase II</c:v>
                </c:pt>
                <c:pt idx="2">
                  <c:v>ORVR Compatibility</c:v>
                </c:pt>
                <c:pt idx="3">
                  <c:v>Liquid Retention</c:v>
                </c:pt>
                <c:pt idx="4">
                  <c:v>Spillage/Dripless Nozzle</c:v>
                </c:pt>
                <c:pt idx="5">
                  <c:v>In-Station Diagnostics</c:v>
                </c:pt>
              </c:strCache>
            </c:strRef>
          </c:cat>
          <c:val>
            <c:numRef>
              <c:f>PGCbyGDF!$E$6:$E$11</c:f>
              <c:numCache>
                <c:ptCount val="6"/>
                <c:pt idx="0">
                  <c:v>0.10943559381284594</c:v>
                </c:pt>
                <c:pt idx="1">
                  <c:v>0.36204836321505285</c:v>
                </c:pt>
                <c:pt idx="2">
                  <c:v>0.04980463872092288</c:v>
                </c:pt>
                <c:pt idx="3">
                  <c:v>0.017925371493433397</c:v>
                </c:pt>
                <c:pt idx="4">
                  <c:v>0.013226682917093674</c:v>
                </c:pt>
                <c:pt idx="5">
                  <c:v>0.3008960783023112</c:v>
                </c:pt>
              </c:numCache>
            </c:numRef>
          </c:val>
        </c:ser>
        <c:ser>
          <c:idx val="3"/>
          <c:order val="3"/>
          <c:tx>
            <c:strRef>
              <c:f>PGCbyGDF!$F$4:$F$4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PGCbyGDF!$B$6:$B$11</c:f>
              <c:strCache>
                <c:ptCount val="6"/>
                <c:pt idx="0">
                  <c:v>Phase I</c:v>
                </c:pt>
                <c:pt idx="1">
                  <c:v>Phase II</c:v>
                </c:pt>
                <c:pt idx="2">
                  <c:v>ORVR Compatibility</c:v>
                </c:pt>
                <c:pt idx="3">
                  <c:v>Liquid Retention</c:v>
                </c:pt>
                <c:pt idx="4">
                  <c:v>Spillage/Dripless Nozzle</c:v>
                </c:pt>
                <c:pt idx="5">
                  <c:v>In-Station Diagnostics</c:v>
                </c:pt>
              </c:strCache>
            </c:strRef>
          </c:cat>
          <c:val>
            <c:numRef>
              <c:f>PGCbyGDF!$F$6:$F$11</c:f>
              <c:numCache>
                <c:ptCount val="6"/>
                <c:pt idx="0">
                  <c:v>0.10480049934666846</c:v>
                </c:pt>
                <c:pt idx="1">
                  <c:v>0.21755516195424196</c:v>
                </c:pt>
                <c:pt idx="2">
                  <c:v>0.03300276005585851</c:v>
                </c:pt>
                <c:pt idx="3">
                  <c:v>0.01204080191385173</c:v>
                </c:pt>
                <c:pt idx="4">
                  <c:v>0.007342113337512005</c:v>
                </c:pt>
                <c:pt idx="5">
                  <c:v>0.17582415083070999</c:v>
                </c:pt>
              </c:numCache>
            </c:numRef>
          </c:val>
        </c:ser>
        <c:ser>
          <c:idx val="4"/>
          <c:order val="4"/>
          <c:tx>
            <c:strRef>
              <c:f>PGCbyGDF!$G$4:$G$4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PGCbyGDF!$B$6:$B$11</c:f>
              <c:strCache>
                <c:ptCount val="6"/>
                <c:pt idx="0">
                  <c:v>Phase I</c:v>
                </c:pt>
                <c:pt idx="1">
                  <c:v>Phase II</c:v>
                </c:pt>
                <c:pt idx="2">
                  <c:v>ORVR Compatibility</c:v>
                </c:pt>
                <c:pt idx="3">
                  <c:v>Liquid Retention</c:v>
                </c:pt>
                <c:pt idx="4">
                  <c:v>Spillage/Dripless Nozzle</c:v>
                </c:pt>
                <c:pt idx="5">
                  <c:v>In-Station Diagnostics</c:v>
                </c:pt>
              </c:strCache>
            </c:strRef>
          </c:cat>
          <c:val>
            <c:numRef>
              <c:f>PGCbyGDF!$G$6:$G$11</c:f>
              <c:numCache>
                <c:ptCount val="6"/>
                <c:pt idx="0">
                  <c:v>0.022440012978222738</c:v>
                </c:pt>
                <c:pt idx="1">
                  <c:v>0.12616317912110098</c:v>
                </c:pt>
                <c:pt idx="2">
                  <c:v>0.021744017555657524</c:v>
                </c:pt>
                <c:pt idx="3">
                  <c:v>0.009098517124060899</c:v>
                </c:pt>
                <c:pt idx="4">
                  <c:v>0.004399828547721173</c:v>
                </c:pt>
                <c:pt idx="5">
                  <c:v>0.09806472087290007</c:v>
                </c:pt>
              </c:numCache>
            </c:numRef>
          </c:val>
        </c:ser>
        <c:overlap val="100"/>
        <c:gapWidth val="50"/>
        <c:axId val="2224734"/>
        <c:axId val="20022607"/>
      </c:barChart>
      <c:catAx>
        <c:axId val="222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Model GDF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22607"/>
        <c:crosses val="autoZero"/>
        <c:auto val="0"/>
        <c:lblOffset val="100"/>
        <c:noMultiLvlLbl val="0"/>
      </c:catAx>
      <c:valAx>
        <c:axId val="2002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Cents per Gallon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4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475"/>
          <c:w val="0.961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PGCbyMod!$B$3:$B$8</c:f>
              <c:strCache/>
            </c:strRef>
          </c:cat>
          <c:val>
            <c:numRef>
              <c:f>PGCbyMod!$D$3:$D$8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50"/>
        <c:axId val="45985736"/>
        <c:axId val="11218441"/>
      </c:bar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18441"/>
        <c:crosses val="autoZero"/>
        <c:auto val="0"/>
        <c:lblOffset val="100"/>
        <c:noMultiLvlLbl val="0"/>
      </c:catAx>
      <c:valAx>
        <c:axId val="1121844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857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85725</xdr:rowOff>
    </xdr:from>
    <xdr:to>
      <xdr:col>6</xdr:col>
      <xdr:colOff>885825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66675" y="2828925"/>
        <a:ext cx="71056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76200</xdr:rowOff>
    </xdr:from>
    <xdr:to>
      <xdr:col>3</xdr:col>
      <xdr:colOff>1028700</xdr:colOff>
      <xdr:row>37</xdr:row>
      <xdr:rowOff>171450</xdr:rowOff>
    </xdr:to>
    <xdr:graphicFrame>
      <xdr:nvGraphicFramePr>
        <xdr:cNvPr id="1" name="Chart 2"/>
        <xdr:cNvGraphicFramePr/>
      </xdr:nvGraphicFramePr>
      <xdr:xfrm>
        <a:off x="19050" y="2133600"/>
        <a:ext cx="6477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92">
      <selection activeCell="A91" sqref="A91"/>
    </sheetView>
  </sheetViews>
  <sheetFormatPr defaultColWidth="9.140625" defaultRowHeight="12.75"/>
  <cols>
    <col min="1" max="1" width="3.140625" style="303" customWidth="1"/>
    <col min="3" max="3" width="10.140625" style="0" customWidth="1"/>
    <col min="10" max="10" width="10.28125" style="0" customWidth="1"/>
  </cols>
  <sheetData>
    <row r="1" ht="18">
      <c r="B1" s="325" t="s">
        <v>380</v>
      </c>
    </row>
    <row r="3" spans="2:9" ht="12.75">
      <c r="B3" s="304" t="s">
        <v>271</v>
      </c>
      <c r="C3" s="305"/>
      <c r="D3" s="305"/>
      <c r="E3" s="305"/>
      <c r="F3" s="305"/>
      <c r="G3" s="305"/>
      <c r="H3" s="305"/>
      <c r="I3" s="305"/>
    </row>
    <row r="5" spans="1:2" ht="12.75">
      <c r="A5" s="303">
        <v>1</v>
      </c>
      <c r="B5" s="303" t="s">
        <v>317</v>
      </c>
    </row>
    <row r="6" ht="12.75">
      <c r="B6" t="s">
        <v>319</v>
      </c>
    </row>
    <row r="7" ht="12.75">
      <c r="B7" t="s">
        <v>320</v>
      </c>
    </row>
    <row r="8" spans="3:4" ht="25.5" customHeight="1">
      <c r="C8" s="367" t="s">
        <v>304</v>
      </c>
      <c r="D8" s="367"/>
    </row>
    <row r="9" spans="2:6" ht="12.75">
      <c r="B9" t="s">
        <v>300</v>
      </c>
      <c r="C9" s="363" t="s">
        <v>305</v>
      </c>
      <c r="D9" s="363"/>
      <c r="E9" s="366" t="s">
        <v>309</v>
      </c>
      <c r="F9" s="366"/>
    </row>
    <row r="10" spans="2:6" ht="12.75">
      <c r="B10" t="s">
        <v>301</v>
      </c>
      <c r="C10" s="363" t="s">
        <v>306</v>
      </c>
      <c r="D10" s="363"/>
      <c r="E10" s="366" t="s">
        <v>310</v>
      </c>
      <c r="F10" s="366"/>
    </row>
    <row r="11" spans="2:6" ht="14.25">
      <c r="B11" t="s">
        <v>302</v>
      </c>
      <c r="C11" s="363" t="s">
        <v>307</v>
      </c>
      <c r="D11" s="363"/>
      <c r="E11" s="366" t="s">
        <v>311</v>
      </c>
      <c r="F11" s="366"/>
    </row>
    <row r="12" spans="2:6" ht="14.25">
      <c r="B12" t="s">
        <v>303</v>
      </c>
      <c r="C12" s="363" t="s">
        <v>308</v>
      </c>
      <c r="D12" s="363"/>
      <c r="E12" s="366" t="s">
        <v>312</v>
      </c>
      <c r="F12" s="366"/>
    </row>
    <row r="13" spans="3:6" ht="12.75">
      <c r="C13" s="313"/>
      <c r="D13" s="313"/>
      <c r="E13" s="314"/>
      <c r="F13" s="314"/>
    </row>
    <row r="14" spans="2:6" ht="12.75">
      <c r="B14" t="s">
        <v>313</v>
      </c>
      <c r="C14" s="313"/>
      <c r="D14" s="313"/>
      <c r="E14" s="314"/>
      <c r="F14" s="314"/>
    </row>
    <row r="15" spans="3:6" ht="8.25" customHeight="1">
      <c r="C15" s="313"/>
      <c r="D15" s="313"/>
      <c r="E15" s="314"/>
      <c r="F15" s="314"/>
    </row>
    <row r="16" spans="2:6" ht="12.75">
      <c r="B16" t="s">
        <v>314</v>
      </c>
      <c r="C16" s="313"/>
      <c r="D16" s="313"/>
      <c r="E16" s="314"/>
      <c r="F16" s="314"/>
    </row>
    <row r="17" spans="2:6" ht="12.75">
      <c r="B17" s="315"/>
      <c r="C17" s="313"/>
      <c r="D17" s="314" t="s">
        <v>315</v>
      </c>
      <c r="E17" s="314"/>
      <c r="F17" s="314"/>
    </row>
    <row r="18" spans="3:6" ht="12.75">
      <c r="C18" s="313"/>
      <c r="D18" s="314" t="s">
        <v>316</v>
      </c>
      <c r="E18" s="314"/>
      <c r="F18" s="314"/>
    </row>
    <row r="19" spans="3:6" ht="12.75">
      <c r="C19" s="313"/>
      <c r="D19" s="313"/>
      <c r="E19" s="314"/>
      <c r="F19" s="314"/>
    </row>
    <row r="20" spans="1:2" ht="12.75">
      <c r="A20" s="303">
        <v>2</v>
      </c>
      <c r="B20" s="303" t="s">
        <v>287</v>
      </c>
    </row>
    <row r="22" spans="3:5" ht="12.75">
      <c r="C22" t="s">
        <v>264</v>
      </c>
      <c r="D22" t="s">
        <v>265</v>
      </c>
      <c r="E22" t="s">
        <v>266</v>
      </c>
    </row>
    <row r="23" spans="3:5" ht="12.75">
      <c r="C23" t="s">
        <v>24</v>
      </c>
      <c r="D23" t="s">
        <v>267</v>
      </c>
      <c r="E23" t="s">
        <v>268</v>
      </c>
    </row>
    <row r="24" spans="3:5" ht="12.75">
      <c r="C24" t="s">
        <v>75</v>
      </c>
      <c r="D24" t="s">
        <v>269</v>
      </c>
      <c r="E24" t="s">
        <v>270</v>
      </c>
    </row>
    <row r="26" spans="1:2" ht="12.75">
      <c r="A26" s="303">
        <v>3</v>
      </c>
      <c r="B26" s="303" t="s">
        <v>321</v>
      </c>
    </row>
    <row r="28" spans="2:5" ht="12.75">
      <c r="B28" s="313"/>
      <c r="C28" s="313"/>
      <c r="D28" s="317" t="s">
        <v>322</v>
      </c>
      <c r="E28" s="317" t="s">
        <v>323</v>
      </c>
    </row>
    <row r="29" spans="2:5" ht="12.75">
      <c r="B29" s="365" t="s">
        <v>324</v>
      </c>
      <c r="C29" s="365"/>
      <c r="D29" s="361">
        <v>4500</v>
      </c>
      <c r="E29" s="318">
        <v>3995</v>
      </c>
    </row>
    <row r="30" spans="2:5" ht="12.75">
      <c r="B30" s="365" t="s">
        <v>325</v>
      </c>
      <c r="C30" s="365"/>
      <c r="D30" s="362"/>
      <c r="E30" s="318">
        <v>670</v>
      </c>
    </row>
    <row r="31" spans="2:5" ht="12.75">
      <c r="B31" s="365" t="s">
        <v>292</v>
      </c>
      <c r="C31" s="365"/>
      <c r="D31" s="318">
        <v>750</v>
      </c>
      <c r="E31" s="318">
        <v>595</v>
      </c>
    </row>
    <row r="32" spans="2:5" ht="12.75">
      <c r="B32" s="365" t="s">
        <v>326</v>
      </c>
      <c r="C32" s="365"/>
      <c r="D32" s="318">
        <v>900</v>
      </c>
      <c r="E32" s="318">
        <v>885</v>
      </c>
    </row>
    <row r="33" spans="2:5" ht="12.75">
      <c r="B33" s="365" t="s">
        <v>327</v>
      </c>
      <c r="C33" s="365"/>
      <c r="D33" s="317" t="s">
        <v>328</v>
      </c>
      <c r="E33" s="318">
        <v>1095</v>
      </c>
    </row>
    <row r="34" spans="2:5" ht="12.75">
      <c r="B34" s="363"/>
      <c r="C34" s="363"/>
      <c r="D34" s="313"/>
      <c r="E34" s="313"/>
    </row>
    <row r="35" spans="2:8" ht="12.75">
      <c r="B35" s="313"/>
      <c r="C35" s="313"/>
      <c r="D35" s="317" t="s">
        <v>295</v>
      </c>
      <c r="E35" s="317" t="s">
        <v>296</v>
      </c>
      <c r="F35" s="317" t="s">
        <v>297</v>
      </c>
      <c r="G35" s="317" t="s">
        <v>298</v>
      </c>
      <c r="H35" s="317" t="s">
        <v>299</v>
      </c>
    </row>
    <row r="36" spans="2:8" ht="12.75">
      <c r="B36" s="363" t="s">
        <v>329</v>
      </c>
      <c r="C36" s="364"/>
      <c r="D36" s="318">
        <v>6150</v>
      </c>
      <c r="E36" s="318">
        <v>6600</v>
      </c>
      <c r="F36" s="318">
        <v>7950</v>
      </c>
      <c r="G36" s="318">
        <v>9300</v>
      </c>
      <c r="H36" s="318">
        <v>10650</v>
      </c>
    </row>
    <row r="37" spans="2:8" ht="12.75">
      <c r="B37" s="363" t="s">
        <v>330</v>
      </c>
      <c r="C37" s="363"/>
      <c r="D37" s="319">
        <v>8883</v>
      </c>
      <c r="E37" s="319">
        <v>9625</v>
      </c>
      <c r="F37" s="319">
        <v>10656</v>
      </c>
      <c r="G37" s="319">
        <v>11980</v>
      </c>
      <c r="H37" s="319">
        <v>13308</v>
      </c>
    </row>
    <row r="38" spans="2:5" ht="12.75">
      <c r="B38" s="313"/>
      <c r="C38" s="313"/>
      <c r="D38" s="313"/>
      <c r="E38" s="313"/>
    </row>
    <row r="39" spans="2:5" ht="12.75">
      <c r="B39" s="313"/>
      <c r="C39" s="313"/>
      <c r="D39" s="313"/>
      <c r="E39" s="313"/>
    </row>
    <row r="41" spans="1:2" ht="12.75">
      <c r="A41" s="303">
        <v>4</v>
      </c>
      <c r="B41" s="303" t="s">
        <v>288</v>
      </c>
    </row>
    <row r="43" ht="12.75">
      <c r="C43" t="s">
        <v>272</v>
      </c>
    </row>
    <row r="44" ht="12.75">
      <c r="C44" t="s">
        <v>273</v>
      </c>
    </row>
    <row r="46" ht="12.75">
      <c r="B46" t="s">
        <v>274</v>
      </c>
    </row>
    <row r="47" ht="12.75">
      <c r="B47" t="s">
        <v>275</v>
      </c>
    </row>
    <row r="49" spans="4:7" ht="12.75">
      <c r="D49" t="s">
        <v>276</v>
      </c>
      <c r="E49" t="s">
        <v>277</v>
      </c>
      <c r="G49" t="s">
        <v>278</v>
      </c>
    </row>
    <row r="50" spans="3:7" ht="12.75">
      <c r="C50" t="s">
        <v>279</v>
      </c>
      <c r="D50" s="306">
        <v>250</v>
      </c>
      <c r="E50" s="306">
        <v>125</v>
      </c>
      <c r="G50" t="s">
        <v>281</v>
      </c>
    </row>
    <row r="51" spans="3:7" ht="12.75">
      <c r="C51" t="s">
        <v>280</v>
      </c>
      <c r="D51" s="306">
        <v>300</v>
      </c>
      <c r="E51" s="306">
        <v>200</v>
      </c>
      <c r="G51" t="s">
        <v>282</v>
      </c>
    </row>
    <row r="53" ht="12.75">
      <c r="B53" t="s">
        <v>283</v>
      </c>
    </row>
    <row r="57" spans="1:2" ht="12.75">
      <c r="A57" s="303">
        <v>5</v>
      </c>
      <c r="B57" s="303" t="s">
        <v>285</v>
      </c>
    </row>
    <row r="59" ht="12.75">
      <c r="C59" t="s">
        <v>289</v>
      </c>
    </row>
    <row r="60" ht="12.75">
      <c r="C60" t="s">
        <v>286</v>
      </c>
    </row>
    <row r="62" ht="12.75">
      <c r="B62" t="s">
        <v>290</v>
      </c>
    </row>
    <row r="63" ht="12.75">
      <c r="D63" t="s">
        <v>78</v>
      </c>
    </row>
    <row r="64" spans="3:4" ht="12.75">
      <c r="C64" s="310" t="s">
        <v>291</v>
      </c>
      <c r="D64" s="306">
        <v>300</v>
      </c>
    </row>
    <row r="65" spans="3:10" ht="12.75">
      <c r="C65" s="310" t="s">
        <v>292</v>
      </c>
      <c r="D65" s="306">
        <v>200</v>
      </c>
      <c r="F65" s="311" t="s">
        <v>295</v>
      </c>
      <c r="G65" s="311" t="s">
        <v>296</v>
      </c>
      <c r="H65" s="311" t="s">
        <v>297</v>
      </c>
      <c r="I65" s="311" t="s">
        <v>298</v>
      </c>
      <c r="J65" s="311" t="s">
        <v>299</v>
      </c>
    </row>
    <row r="66" spans="3:10" ht="12.75">
      <c r="C66" s="310" t="s">
        <v>293</v>
      </c>
      <c r="D66" s="306">
        <v>50</v>
      </c>
      <c r="E66" t="s">
        <v>294</v>
      </c>
      <c r="F66" s="312">
        <v>550</v>
      </c>
      <c r="G66" s="312">
        <v>700</v>
      </c>
      <c r="H66" s="312">
        <v>1150</v>
      </c>
      <c r="I66" s="312">
        <v>1600</v>
      </c>
      <c r="J66" s="312">
        <v>2050</v>
      </c>
    </row>
    <row r="68" spans="1:2" ht="12.75">
      <c r="A68" s="303">
        <v>6</v>
      </c>
      <c r="B68" s="303" t="s">
        <v>318</v>
      </c>
    </row>
    <row r="69" ht="12.75">
      <c r="B69" s="303"/>
    </row>
    <row r="70" spans="1:2" ht="12.75">
      <c r="A70" s="303">
        <v>7</v>
      </c>
      <c r="B70" s="303" t="s">
        <v>348</v>
      </c>
    </row>
    <row r="72" spans="1:2" ht="12.75">
      <c r="A72" s="303">
        <v>8</v>
      </c>
      <c r="B72" s="303" t="s">
        <v>334</v>
      </c>
    </row>
    <row r="73" ht="9" customHeight="1">
      <c r="B73" s="303" t="s">
        <v>260</v>
      </c>
    </row>
    <row r="74" spans="2:10" ht="12.75">
      <c r="B74" s="314" t="s">
        <v>335</v>
      </c>
      <c r="C74" s="313"/>
      <c r="D74" s="313"/>
      <c r="E74" s="313"/>
      <c r="F74" s="313"/>
      <c r="G74" s="313"/>
      <c r="H74" s="313"/>
      <c r="I74" s="313"/>
      <c r="J74" s="313"/>
    </row>
    <row r="75" ht="12.75">
      <c r="B75" t="s">
        <v>336</v>
      </c>
    </row>
    <row r="76" ht="12.75">
      <c r="B76" t="s">
        <v>337</v>
      </c>
    </row>
    <row r="78" spans="1:2" ht="12.75">
      <c r="A78" s="303">
        <v>9</v>
      </c>
      <c r="B78" s="303" t="s">
        <v>338</v>
      </c>
    </row>
    <row r="79" ht="8.25" customHeight="1"/>
    <row r="80" ht="12.75">
      <c r="B80" t="s">
        <v>333</v>
      </c>
    </row>
    <row r="81" ht="12.75">
      <c r="B81" t="s">
        <v>339</v>
      </c>
    </row>
    <row r="82" ht="12.75">
      <c r="C82" s="326"/>
    </row>
    <row r="83" spans="1:2" ht="12.75">
      <c r="A83" s="303">
        <v>10</v>
      </c>
      <c r="B83" s="303" t="s">
        <v>340</v>
      </c>
    </row>
    <row r="84" ht="6" customHeight="1"/>
    <row r="85" ht="12.75">
      <c r="B85" t="s">
        <v>341</v>
      </c>
    </row>
    <row r="86" ht="12.75">
      <c r="B86" t="s">
        <v>342</v>
      </c>
    </row>
    <row r="87" ht="12.75">
      <c r="B87" t="s">
        <v>378</v>
      </c>
    </row>
    <row r="89" spans="1:2" ht="12.75">
      <c r="A89" s="303">
        <v>11</v>
      </c>
      <c r="B89" s="303" t="s">
        <v>344</v>
      </c>
    </row>
    <row r="90" ht="8.25" customHeight="1"/>
    <row r="91" ht="12.75">
      <c r="B91" t="s">
        <v>345</v>
      </c>
    </row>
    <row r="92" ht="12.75">
      <c r="B92" t="s">
        <v>346</v>
      </c>
    </row>
    <row r="94" spans="1:2" ht="12.75">
      <c r="A94" s="303">
        <v>12</v>
      </c>
      <c r="B94" s="303" t="s">
        <v>355</v>
      </c>
    </row>
    <row r="95" ht="7.5" customHeight="1"/>
    <row r="96" ht="12.75">
      <c r="B96" t="s">
        <v>356</v>
      </c>
    </row>
    <row r="97" ht="8.25" customHeight="1"/>
    <row r="98" ht="12.75">
      <c r="B98" t="s">
        <v>367</v>
      </c>
    </row>
    <row r="99" spans="2:3" ht="12.75">
      <c r="B99" s="310" t="s">
        <v>357</v>
      </c>
      <c r="C99" t="s">
        <v>366</v>
      </c>
    </row>
    <row r="100" spans="2:3" ht="12.75">
      <c r="B100" s="310" t="s">
        <v>359</v>
      </c>
      <c r="C100" t="s">
        <v>358</v>
      </c>
    </row>
    <row r="101" spans="2:3" ht="12.75">
      <c r="B101" s="310" t="s">
        <v>361</v>
      </c>
      <c r="C101" t="s">
        <v>360</v>
      </c>
    </row>
    <row r="102" spans="2:3" ht="12.75">
      <c r="B102" s="310" t="s">
        <v>363</v>
      </c>
      <c r="C102" t="s">
        <v>377</v>
      </c>
    </row>
    <row r="103" spans="2:3" ht="12.75">
      <c r="B103" s="310" t="s">
        <v>365</v>
      </c>
      <c r="C103" t="s">
        <v>362</v>
      </c>
    </row>
    <row r="104" spans="2:3" ht="12.75">
      <c r="B104" s="310" t="s">
        <v>376</v>
      </c>
      <c r="C104" t="s">
        <v>364</v>
      </c>
    </row>
    <row r="105" ht="7.5" customHeight="1">
      <c r="B105" s="310"/>
    </row>
    <row r="106" ht="12.75">
      <c r="B106" t="s">
        <v>368</v>
      </c>
    </row>
    <row r="107" spans="2:3" ht="12.75">
      <c r="B107" s="310" t="s">
        <v>357</v>
      </c>
      <c r="C107" t="s">
        <v>369</v>
      </c>
    </row>
    <row r="108" spans="2:3" ht="12.75">
      <c r="B108" s="310" t="s">
        <v>359</v>
      </c>
      <c r="C108" t="s">
        <v>371</v>
      </c>
    </row>
    <row r="109" spans="2:3" ht="12.75">
      <c r="B109" s="310" t="s">
        <v>361</v>
      </c>
      <c r="C109" t="s">
        <v>372</v>
      </c>
    </row>
    <row r="110" spans="2:3" ht="12.75">
      <c r="B110" s="310" t="s">
        <v>363</v>
      </c>
      <c r="C110" t="s">
        <v>373</v>
      </c>
    </row>
    <row r="111" spans="2:3" ht="12.75">
      <c r="B111" s="310" t="s">
        <v>365</v>
      </c>
      <c r="C111" t="s">
        <v>370</v>
      </c>
    </row>
    <row r="113" spans="1:2" ht="12.75">
      <c r="A113" s="303">
        <v>13</v>
      </c>
      <c r="B113" s="303" t="s">
        <v>379</v>
      </c>
    </row>
  </sheetData>
  <mergeCells count="18">
    <mergeCell ref="C12:D12"/>
    <mergeCell ref="C8:D8"/>
    <mergeCell ref="C9:D9"/>
    <mergeCell ref="C10:D10"/>
    <mergeCell ref="C11:D11"/>
    <mergeCell ref="E9:F9"/>
    <mergeCell ref="E10:F10"/>
    <mergeCell ref="E11:F11"/>
    <mergeCell ref="E12:F12"/>
    <mergeCell ref="D29:D30"/>
    <mergeCell ref="B36:C36"/>
    <mergeCell ref="B37:C37"/>
    <mergeCell ref="B29:C29"/>
    <mergeCell ref="B30:C30"/>
    <mergeCell ref="B33:C33"/>
    <mergeCell ref="B34:C34"/>
    <mergeCell ref="B31:C31"/>
    <mergeCell ref="B32:C32"/>
  </mergeCells>
  <printOptions/>
  <pageMargins left="0.52" right="0.43" top="0.68" bottom="0.56" header="0.5" footer="0.29"/>
  <pageSetup horizontalDpi="600" verticalDpi="600" orientation="portrait" r:id="rId1"/>
  <headerFooter alignWithMargins="0">
    <oddHeader>&amp;LEVR Technology Review&amp;RAppendix 4</oddHeader>
    <oddFooter>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="75" zoomScaleNormal="75" workbookViewId="0" topLeftCell="A1">
      <selection activeCell="B39" sqref="B39"/>
    </sheetView>
  </sheetViews>
  <sheetFormatPr defaultColWidth="9.140625" defaultRowHeight="12.75"/>
  <cols>
    <col min="1" max="1" width="101.00390625" style="97" customWidth="1"/>
    <col min="2" max="2" width="27.00390625" style="98" customWidth="1"/>
    <col min="3" max="16384" width="9.140625" style="97" customWidth="1"/>
  </cols>
  <sheetData>
    <row r="1" spans="1:2" ht="18">
      <c r="A1" s="94" t="s">
        <v>167</v>
      </c>
      <c r="B1" s="101"/>
    </row>
    <row r="2" spans="1:2" ht="18">
      <c r="A2" s="19"/>
      <c r="B2" s="19"/>
    </row>
    <row r="3" spans="1:2" ht="18">
      <c r="A3" s="20" t="s">
        <v>168</v>
      </c>
      <c r="B3" s="20" t="s">
        <v>169</v>
      </c>
    </row>
    <row r="4" spans="1:2" ht="18">
      <c r="A4" s="21" t="s">
        <v>170</v>
      </c>
      <c r="B4" s="22"/>
    </row>
    <row r="5" spans="1:2" ht="18">
      <c r="A5" s="21" t="s">
        <v>171</v>
      </c>
      <c r="B5" s="1"/>
    </row>
    <row r="6" spans="1:2" ht="18">
      <c r="A6" s="2" t="s">
        <v>172</v>
      </c>
      <c r="B6" s="1"/>
    </row>
    <row r="7" spans="1:2" ht="18">
      <c r="A7" s="21" t="s">
        <v>173</v>
      </c>
      <c r="B7" s="1">
        <v>1</v>
      </c>
    </row>
    <row r="8" spans="1:2" ht="18">
      <c r="A8" s="21" t="s">
        <v>174</v>
      </c>
      <c r="B8" s="3">
        <v>100000</v>
      </c>
    </row>
    <row r="9" spans="1:2" ht="18">
      <c r="A9" s="2" t="s">
        <v>175</v>
      </c>
      <c r="B9" s="1">
        <v>1</v>
      </c>
    </row>
    <row r="10" spans="1:2" ht="18">
      <c r="A10" s="2" t="s">
        <v>176</v>
      </c>
      <c r="B10" s="1"/>
    </row>
    <row r="11" spans="1:2" ht="18">
      <c r="A11" s="2" t="s">
        <v>177</v>
      </c>
      <c r="B11" s="1">
        <f>0.5*B7</f>
        <v>0.5</v>
      </c>
    </row>
    <row r="12" spans="1:2" ht="18">
      <c r="A12" s="2" t="s">
        <v>178</v>
      </c>
      <c r="B12" s="3">
        <f>(0.5)*B8</f>
        <v>50000</v>
      </c>
    </row>
    <row r="13" spans="1:2" ht="18">
      <c r="A13" s="2" t="s">
        <v>175</v>
      </c>
      <c r="B13" s="1">
        <v>1</v>
      </c>
    </row>
    <row r="14" spans="1:2" ht="18">
      <c r="A14" s="2"/>
      <c r="B14" s="1"/>
    </row>
    <row r="15" spans="1:2" ht="18">
      <c r="A15" s="2" t="s">
        <v>179</v>
      </c>
      <c r="B15" s="4">
        <f>B7*B8*B9+B11*B12*B13</f>
        <v>125000</v>
      </c>
    </row>
    <row r="16" spans="1:2" ht="18">
      <c r="A16" s="2"/>
      <c r="B16" s="1"/>
    </row>
    <row r="17" spans="1:2" ht="18">
      <c r="A17" s="2" t="s">
        <v>180</v>
      </c>
      <c r="B17" s="1"/>
    </row>
    <row r="18" spans="1:2" ht="18">
      <c r="A18" s="2" t="s">
        <v>172</v>
      </c>
      <c r="B18" s="22"/>
    </row>
    <row r="19" spans="1:2" ht="18">
      <c r="A19" s="21" t="s">
        <v>173</v>
      </c>
      <c r="B19" s="22">
        <v>2</v>
      </c>
    </row>
    <row r="20" spans="1:2" ht="18">
      <c r="A20" s="21" t="s">
        <v>174</v>
      </c>
      <c r="B20" s="5">
        <f>B8</f>
        <v>100000</v>
      </c>
    </row>
    <row r="21" spans="1:2" ht="18">
      <c r="A21" s="2" t="s">
        <v>175</v>
      </c>
      <c r="B21" s="6">
        <v>2</v>
      </c>
    </row>
    <row r="22" spans="1:2" ht="18">
      <c r="A22" s="2" t="s">
        <v>176</v>
      </c>
      <c r="B22" s="6"/>
    </row>
    <row r="23" spans="1:2" ht="18">
      <c r="A23" s="2" t="s">
        <v>177</v>
      </c>
      <c r="B23" s="7">
        <f>B19/2</f>
        <v>1</v>
      </c>
    </row>
    <row r="24" spans="1:2" ht="18">
      <c r="A24" s="2" t="s">
        <v>178</v>
      </c>
      <c r="B24" s="3">
        <f>(0.5)*B20</f>
        <v>50000</v>
      </c>
    </row>
    <row r="25" spans="1:2" ht="18">
      <c r="A25" s="2" t="s">
        <v>175</v>
      </c>
      <c r="B25" s="7">
        <f>B21</f>
        <v>2</v>
      </c>
    </row>
    <row r="26" spans="1:2" ht="18">
      <c r="A26" s="2"/>
      <c r="B26" s="7"/>
    </row>
    <row r="27" spans="1:2" ht="18">
      <c r="A27" s="229" t="s">
        <v>181</v>
      </c>
      <c r="B27" s="230">
        <f>B19*B20*B21+B23*B24*B25</f>
        <v>500000</v>
      </c>
    </row>
    <row r="28" spans="1:2" ht="18">
      <c r="A28" s="2"/>
      <c r="B28" s="7"/>
    </row>
    <row r="29" spans="1:2" ht="18">
      <c r="A29" s="2" t="s">
        <v>182</v>
      </c>
      <c r="B29" s="7"/>
    </row>
    <row r="30" spans="1:2" ht="18">
      <c r="A30" s="2" t="s">
        <v>183</v>
      </c>
      <c r="B30" s="4">
        <f>0.1*(B19*B20*B21+B23*B24*B25)</f>
        <v>50000</v>
      </c>
    </row>
    <row r="31" spans="1:2" ht="18">
      <c r="A31" s="21" t="s">
        <v>184</v>
      </c>
      <c r="B31" s="22"/>
    </row>
    <row r="32" spans="1:2" ht="18">
      <c r="A32" s="231"/>
      <c r="B32" s="232"/>
    </row>
    <row r="33" spans="1:2" ht="18">
      <c r="A33" s="2"/>
      <c r="B33" s="1"/>
    </row>
    <row r="34" spans="1:2" ht="18">
      <c r="A34" s="21" t="s">
        <v>185</v>
      </c>
      <c r="B34" s="22"/>
    </row>
    <row r="35" spans="1:2" ht="18">
      <c r="A35" s="231" t="s">
        <v>186</v>
      </c>
      <c r="B35" s="233">
        <f>0.25*B30</f>
        <v>12500</v>
      </c>
    </row>
    <row r="36" spans="1:2" ht="18">
      <c r="A36" s="2"/>
      <c r="B36" s="7"/>
    </row>
    <row r="37" spans="1:2" ht="18">
      <c r="A37" s="21" t="s">
        <v>187</v>
      </c>
      <c r="B37" s="234">
        <v>32</v>
      </c>
    </row>
    <row r="38" spans="1:2" ht="18">
      <c r="A38" s="21" t="s">
        <v>188</v>
      </c>
      <c r="B38" s="235">
        <f>B37*0.25</f>
        <v>8</v>
      </c>
    </row>
    <row r="39" spans="1:2" ht="18">
      <c r="A39" s="2" t="s">
        <v>189</v>
      </c>
      <c r="B39" s="236">
        <v>14</v>
      </c>
    </row>
    <row r="40" spans="1:2" ht="18">
      <c r="A40" s="237"/>
      <c r="B40" s="238"/>
    </row>
    <row r="42" spans="1:2" ht="18">
      <c r="A42" s="239" t="s">
        <v>190</v>
      </c>
      <c r="B42" s="38">
        <f>(B39)*(B15+B30+B35)+(B37+B38)*(B27+B30+B35)</f>
        <v>25125000</v>
      </c>
    </row>
    <row r="43" spans="1:2" ht="18">
      <c r="A43" s="239" t="s">
        <v>191</v>
      </c>
      <c r="B43" s="38">
        <f>B42*(0.1*(1+0.1)^5)/(((1+0.1)^5)-1)</f>
        <v>6627911.704967974</v>
      </c>
    </row>
  </sheetData>
  <printOptions/>
  <pageMargins left="0.51" right="0.25" top="1" bottom="1" header="0.5" footer="0.5"/>
  <pageSetup fitToHeight="1" fitToWidth="1" horizontalDpi="600" verticalDpi="600" orientation="portrait" scale="78" r:id="rId1"/>
  <headerFooter alignWithMargins="0">
    <oddHeader>&amp;LEVR Technology Review&amp;RAppendix 4</oddHeader>
    <oddFooter>&amp;RPage 27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35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95.00390625" style="97" customWidth="1"/>
    <col min="2" max="2" width="21.57421875" style="97" customWidth="1"/>
    <col min="3" max="16384" width="9.140625" style="97" customWidth="1"/>
  </cols>
  <sheetData>
    <row r="5" spans="1:2" ht="18">
      <c r="A5" s="94" t="s">
        <v>192</v>
      </c>
      <c r="B5" s="101"/>
    </row>
    <row r="6" spans="1:2" ht="18">
      <c r="A6" s="19"/>
      <c r="B6" s="19"/>
    </row>
    <row r="7" spans="1:2" ht="18">
      <c r="A7" s="20" t="s">
        <v>168</v>
      </c>
      <c r="B7" s="20" t="s">
        <v>169</v>
      </c>
    </row>
    <row r="8" spans="1:2" ht="18">
      <c r="A8" s="21" t="s">
        <v>193</v>
      </c>
      <c r="B8" s="22"/>
    </row>
    <row r="9" spans="1:2" ht="18">
      <c r="A9" s="2" t="s">
        <v>194</v>
      </c>
      <c r="B9" s="240">
        <v>10000</v>
      </c>
    </row>
    <row r="10" spans="1:2" ht="18">
      <c r="A10" s="2" t="s">
        <v>195</v>
      </c>
      <c r="B10" s="241">
        <f>0.2*B9</f>
        <v>2000</v>
      </c>
    </row>
    <row r="11" spans="1:2" ht="18">
      <c r="A11" s="21" t="s">
        <v>196</v>
      </c>
      <c r="B11" s="22">
        <v>5</v>
      </c>
    </row>
    <row r="12" spans="1:2" ht="18">
      <c r="A12" s="21" t="s">
        <v>197</v>
      </c>
      <c r="B12" s="22"/>
    </row>
    <row r="13" spans="1:2" ht="18">
      <c r="A13" s="21" t="s">
        <v>198</v>
      </c>
      <c r="B13" s="22">
        <f>'RD Costs'!$B37</f>
        <v>32</v>
      </c>
    </row>
    <row r="14" spans="1:2" ht="18">
      <c r="A14" s="21" t="s">
        <v>199</v>
      </c>
      <c r="B14" s="22">
        <f>'RD Costs'!$B39</f>
        <v>14</v>
      </c>
    </row>
    <row r="15" spans="1:2" ht="18">
      <c r="A15" s="2" t="s">
        <v>200</v>
      </c>
      <c r="B15" s="242">
        <f>'RD Costs'!B38</f>
        <v>8</v>
      </c>
    </row>
    <row r="16" spans="1:2" ht="18">
      <c r="A16" s="2"/>
      <c r="B16" s="243"/>
    </row>
    <row r="17" spans="1:2" ht="18">
      <c r="A17" s="2" t="s">
        <v>201</v>
      </c>
      <c r="B17" s="244">
        <f>B9*B11*(B13+B15)+B10*B11*(B14)</f>
        <v>2140000</v>
      </c>
    </row>
    <row r="18" spans="1:2" ht="18">
      <c r="A18" s="2"/>
      <c r="B18" s="243"/>
    </row>
    <row r="19" spans="1:2" ht="18">
      <c r="A19" s="2" t="s">
        <v>202</v>
      </c>
      <c r="B19" s="243"/>
    </row>
    <row r="20" spans="1:2" ht="18">
      <c r="A20" s="2" t="s">
        <v>203</v>
      </c>
      <c r="B20" s="241">
        <f>75000+75000+20000</f>
        <v>170000</v>
      </c>
    </row>
    <row r="21" spans="1:2" ht="18">
      <c r="A21" s="2" t="s">
        <v>204</v>
      </c>
      <c r="B21" s="241">
        <f>0.2*B20</f>
        <v>34000</v>
      </c>
    </row>
    <row r="22" spans="1:2" ht="18">
      <c r="A22" s="21" t="s">
        <v>196</v>
      </c>
      <c r="B22" s="22">
        <v>2</v>
      </c>
    </row>
    <row r="23" spans="1:2" ht="18">
      <c r="A23" s="21" t="s">
        <v>205</v>
      </c>
      <c r="B23" s="22">
        <f>B13</f>
        <v>32</v>
      </c>
    </row>
    <row r="24" spans="1:2" ht="18">
      <c r="A24" s="2" t="s">
        <v>206</v>
      </c>
      <c r="B24" s="242">
        <f>B15</f>
        <v>8</v>
      </c>
    </row>
    <row r="25" spans="1:2" ht="18">
      <c r="A25" s="2" t="s">
        <v>207</v>
      </c>
      <c r="B25" s="243">
        <f>B14</f>
        <v>14</v>
      </c>
    </row>
    <row r="26" spans="1:2" ht="18">
      <c r="A26" s="2" t="s">
        <v>208</v>
      </c>
      <c r="B26" s="244">
        <f>B20*B22*(B23+B24)+B21*B22*B25</f>
        <v>14552000</v>
      </c>
    </row>
    <row r="27" spans="1:2" ht="18">
      <c r="A27" s="2"/>
      <c r="B27" s="1"/>
    </row>
    <row r="28" spans="1:2" ht="18">
      <c r="A28" s="245" t="s">
        <v>209</v>
      </c>
      <c r="B28" s="246">
        <f>SUM(B17,B26)</f>
        <v>16692000</v>
      </c>
    </row>
    <row r="29" spans="1:2" ht="18">
      <c r="A29" s="247" t="s">
        <v>210</v>
      </c>
      <c r="B29" s="248">
        <f>B28*(0.1*(1+0.1)^5)/(((1+0.1)^5)-1)</f>
        <v>4403307.549425887</v>
      </c>
    </row>
    <row r="30" ht="18">
      <c r="B30" s="98"/>
    </row>
    <row r="31" ht="18">
      <c r="A31" s="97" t="s">
        <v>58</v>
      </c>
    </row>
    <row r="32" ht="18">
      <c r="A32" s="97" t="s">
        <v>211</v>
      </c>
    </row>
    <row r="33" ht="18">
      <c r="A33" s="97" t="s">
        <v>212</v>
      </c>
    </row>
    <row r="34" ht="18">
      <c r="A34" s="97" t="s">
        <v>213</v>
      </c>
    </row>
    <row r="35" ht="18">
      <c r="A35" s="97" t="s">
        <v>214</v>
      </c>
    </row>
  </sheetData>
  <printOptions/>
  <pageMargins left="0.58" right="0.29" top="1" bottom="1" header="0.5" footer="0.5"/>
  <pageSetup fitToHeight="1" fitToWidth="1" horizontalDpi="600" verticalDpi="600" orientation="portrait" scale="85" r:id="rId1"/>
  <headerFooter alignWithMargins="0">
    <oddHeader>&amp;LEVR Technology Review&amp;RAppendix 4</oddHeader>
    <oddFooter>&amp;RPage 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K5" sqref="K5"/>
    </sheetView>
  </sheetViews>
  <sheetFormatPr defaultColWidth="9.140625" defaultRowHeight="12.75"/>
  <cols>
    <col min="1" max="1" width="12.8515625" style="97" customWidth="1"/>
    <col min="2" max="2" width="13.28125" style="274" customWidth="1"/>
    <col min="3" max="3" width="15.28125" style="275" customWidth="1"/>
    <col min="4" max="4" width="5.140625" style="97" customWidth="1"/>
    <col min="5" max="5" width="15.57421875" style="97" customWidth="1"/>
    <col min="6" max="6" width="13.57421875" style="97" customWidth="1"/>
    <col min="7" max="7" width="14.7109375" style="98" customWidth="1"/>
    <col min="8" max="16384" width="9.140625" style="97" customWidth="1"/>
  </cols>
  <sheetData>
    <row r="1" spans="1:7" ht="18">
      <c r="A1" s="94" t="s">
        <v>215</v>
      </c>
      <c r="B1" s="249"/>
      <c r="C1" s="250"/>
      <c r="D1" s="101"/>
      <c r="E1" s="101"/>
      <c r="F1" s="101"/>
      <c r="G1" s="101"/>
    </row>
    <row r="3" spans="1:7" ht="18">
      <c r="A3" s="251" t="s">
        <v>216</v>
      </c>
      <c r="B3" s="252"/>
      <c r="C3" s="253"/>
      <c r="E3" s="251" t="s">
        <v>217</v>
      </c>
      <c r="F3" s="254"/>
      <c r="G3" s="255"/>
    </row>
    <row r="4" spans="1:7" ht="18">
      <c r="A4" s="256"/>
      <c r="B4" s="257"/>
      <c r="C4" s="258" t="s">
        <v>218</v>
      </c>
      <c r="E4" s="256"/>
      <c r="F4" s="259"/>
      <c r="G4" s="260" t="s">
        <v>218</v>
      </c>
    </row>
    <row r="5" spans="1:7" ht="18">
      <c r="A5" s="261" t="s">
        <v>219</v>
      </c>
      <c r="B5" s="262"/>
      <c r="C5" s="263" t="s">
        <v>220</v>
      </c>
      <c r="E5" s="261" t="s">
        <v>219</v>
      </c>
      <c r="F5" s="262"/>
      <c r="G5" s="263" t="s">
        <v>220</v>
      </c>
    </row>
    <row r="6" spans="1:7" ht="18">
      <c r="A6" s="264">
        <v>3000</v>
      </c>
      <c r="B6" s="265"/>
      <c r="C6" s="266">
        <v>0.038</v>
      </c>
      <c r="E6" s="264">
        <v>3000</v>
      </c>
      <c r="F6" s="265"/>
      <c r="G6" s="267">
        <f>C6*(1-0.1*(1999-1991))</f>
        <v>0.007599999999999998</v>
      </c>
    </row>
    <row r="7" spans="1:7" ht="18">
      <c r="A7" s="268">
        <v>8000</v>
      </c>
      <c r="B7" s="269"/>
      <c r="C7" s="270">
        <v>0.048</v>
      </c>
      <c r="E7" s="268">
        <v>8000</v>
      </c>
      <c r="F7" s="269"/>
      <c r="G7" s="267">
        <f>C7*(1-0.1*(1999-1991))</f>
        <v>0.009599999999999997</v>
      </c>
    </row>
    <row r="8" spans="1:7" ht="18">
      <c r="A8" s="268">
        <v>17500</v>
      </c>
      <c r="B8" s="269"/>
      <c r="C8" s="270">
        <v>0.15</v>
      </c>
      <c r="E8" s="268">
        <v>17500</v>
      </c>
      <c r="F8" s="269"/>
      <c r="G8" s="267">
        <f>C8*(1-0.1*(1999-1991))</f>
        <v>0.029999999999999992</v>
      </c>
    </row>
    <row r="9" spans="1:7" ht="18">
      <c r="A9" s="268">
        <v>37500</v>
      </c>
      <c r="B9" s="269"/>
      <c r="C9" s="270">
        <v>0.235</v>
      </c>
      <c r="E9" s="268">
        <v>37500</v>
      </c>
      <c r="F9" s="269"/>
      <c r="G9" s="267">
        <f>C9*(1-0.05*(1999-1991))</f>
        <v>0.14100000000000001</v>
      </c>
    </row>
    <row r="10" spans="1:7" ht="18">
      <c r="A10" s="268">
        <v>75000</v>
      </c>
      <c r="B10" s="269"/>
      <c r="C10" s="270">
        <v>0.323</v>
      </c>
      <c r="E10" s="268">
        <v>75000</v>
      </c>
      <c r="F10" s="269"/>
      <c r="G10" s="267">
        <f>1-G6-G7-G8-G9-G11-G12</f>
        <v>0.45651999999999987</v>
      </c>
    </row>
    <row r="11" spans="1:7" ht="18">
      <c r="A11" s="268">
        <v>150000</v>
      </c>
      <c r="B11" s="269"/>
      <c r="C11" s="270">
        <v>0.182</v>
      </c>
      <c r="E11" s="268">
        <v>150000</v>
      </c>
      <c r="F11" s="269"/>
      <c r="G11" s="267">
        <f>C11*(1+0.09*(1999-1991))</f>
        <v>0.31304</v>
      </c>
    </row>
    <row r="12" spans="1:7" ht="18">
      <c r="A12" s="271">
        <v>300000</v>
      </c>
      <c r="B12" s="272"/>
      <c r="C12" s="273">
        <v>0.024</v>
      </c>
      <c r="E12" s="271">
        <v>300000</v>
      </c>
      <c r="F12" s="272"/>
      <c r="G12" s="267">
        <f>C12*(1+0.095*(1999-1991))</f>
        <v>0.04224</v>
      </c>
    </row>
    <row r="13" spans="6:7" ht="18">
      <c r="F13" s="274"/>
      <c r="G13" s="275"/>
    </row>
    <row r="14" spans="1:7" ht="18">
      <c r="A14" s="97" t="s">
        <v>221</v>
      </c>
      <c r="B14" s="274">
        <v>70660.5</v>
      </c>
      <c r="C14" s="275" t="s">
        <v>222</v>
      </c>
      <c r="E14" s="97" t="s">
        <v>223</v>
      </c>
      <c r="F14" s="274">
        <v>99779.1</v>
      </c>
      <c r="G14" s="275" t="s">
        <v>222</v>
      </c>
    </row>
    <row r="16" spans="1:5" ht="18">
      <c r="A16" s="97" t="s">
        <v>224</v>
      </c>
      <c r="E16" s="97" t="s">
        <v>225</v>
      </c>
    </row>
    <row r="17" spans="1:5" ht="18">
      <c r="A17" s="97" t="s">
        <v>226</v>
      </c>
      <c r="E17" s="97" t="s">
        <v>227</v>
      </c>
    </row>
    <row r="18" ht="18">
      <c r="E18" s="97" t="s">
        <v>228</v>
      </c>
    </row>
  </sheetData>
  <printOptions/>
  <pageMargins left="1.9" right="0.38" top="1" bottom="1" header="0.5" footer="0.5"/>
  <pageSetup fitToHeight="1" fitToWidth="1" horizontalDpi="600" verticalDpi="600" orientation="landscape" r:id="rId1"/>
  <headerFooter alignWithMargins="0">
    <oddHeader>&amp;LEVR Technology Review&amp;RAppendix 4</oddHeader>
    <oddFooter>&amp;RPage 29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32"/>
  <sheetViews>
    <sheetView zoomScale="50" zoomScaleNormal="50" workbookViewId="0" topLeftCell="A1">
      <selection activeCell="A31" sqref="A31"/>
    </sheetView>
  </sheetViews>
  <sheetFormatPr defaultColWidth="9.140625" defaultRowHeight="12.75"/>
  <cols>
    <col min="1" max="12" width="9.140625" style="97" customWidth="1"/>
    <col min="13" max="13" width="11.421875" style="97" customWidth="1"/>
    <col min="14" max="16384" width="9.140625" style="97" customWidth="1"/>
  </cols>
  <sheetData>
    <row r="1" spans="1:25" ht="18">
      <c r="A1" s="276" t="s">
        <v>229</v>
      </c>
      <c r="B1" s="276" t="s">
        <v>168</v>
      </c>
      <c r="C1" s="277"/>
      <c r="D1" s="277"/>
      <c r="E1" s="277"/>
      <c r="F1" s="277"/>
      <c r="G1" s="276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>
      <c r="A2" s="276">
        <v>1</v>
      </c>
      <c r="B2" s="277" t="s">
        <v>245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8">
      <c r="A3" s="276"/>
      <c r="B3" s="277" t="s">
        <v>246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</row>
    <row r="4" spans="1:25" ht="18">
      <c r="A4" s="276"/>
      <c r="B4" s="277" t="s">
        <v>247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</row>
    <row r="5" spans="1:25" ht="18">
      <c r="A5" s="276"/>
      <c r="B5" s="278" t="s">
        <v>58</v>
      </c>
      <c r="C5" s="277" t="s">
        <v>230</v>
      </c>
      <c r="D5" s="277" t="s">
        <v>231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</row>
    <row r="6" spans="1:25" ht="18">
      <c r="A6" s="276"/>
      <c r="B6" s="277"/>
      <c r="C6" s="277" t="s">
        <v>232</v>
      </c>
      <c r="D6" s="277" t="s">
        <v>248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</row>
    <row r="7" spans="1:25" ht="18">
      <c r="A7" s="276"/>
      <c r="B7" s="277"/>
      <c r="C7" s="277"/>
      <c r="D7" s="277" t="s">
        <v>249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</row>
    <row r="8" spans="1:25" ht="18">
      <c r="A8" s="27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</row>
    <row r="9" spans="1:25" ht="18">
      <c r="A9" s="276">
        <v>2</v>
      </c>
      <c r="B9" s="277" t="s">
        <v>250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</row>
    <row r="10" spans="1:25" ht="18">
      <c r="A10" s="276"/>
      <c r="B10" s="277" t="s">
        <v>251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</row>
    <row r="11" spans="1:25" ht="18">
      <c r="A11" s="276"/>
      <c r="B11" s="277" t="s">
        <v>58</v>
      </c>
      <c r="C11" s="277" t="s">
        <v>230</v>
      </c>
      <c r="D11" s="277" t="s">
        <v>233</v>
      </c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</row>
    <row r="12" spans="1:25" ht="18">
      <c r="A12" s="276"/>
      <c r="B12" s="277"/>
      <c r="C12" s="277" t="s">
        <v>232</v>
      </c>
      <c r="D12" s="277" t="s">
        <v>234</v>
      </c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</row>
    <row r="13" spans="1:25" ht="18">
      <c r="A13" s="276"/>
      <c r="B13" s="277"/>
      <c r="C13" s="277" t="s">
        <v>235</v>
      </c>
      <c r="D13" s="277" t="s">
        <v>236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</row>
    <row r="14" spans="1:25" ht="18">
      <c r="A14" s="276"/>
      <c r="B14" s="277"/>
      <c r="C14" s="277" t="s">
        <v>237</v>
      </c>
      <c r="D14" s="277" t="s">
        <v>238</v>
      </c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</row>
    <row r="15" spans="1:25" ht="18">
      <c r="A15" s="276"/>
      <c r="B15" s="277"/>
      <c r="C15" s="277" t="s">
        <v>239</v>
      </c>
      <c r="D15" s="277" t="s">
        <v>240</v>
      </c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</row>
    <row r="16" spans="1:25" ht="18">
      <c r="A16" s="276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</row>
    <row r="17" spans="1:25" ht="18">
      <c r="A17" s="276">
        <v>3</v>
      </c>
      <c r="B17" s="277" t="s">
        <v>252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</row>
    <row r="18" spans="1:25" ht="18">
      <c r="A18" s="276"/>
      <c r="B18" s="277" t="s">
        <v>253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</row>
    <row r="19" spans="1:25" ht="18">
      <c r="A19" s="276"/>
      <c r="B19" s="277" t="s">
        <v>58</v>
      </c>
      <c r="C19" s="277" t="s">
        <v>230</v>
      </c>
      <c r="D19" s="277" t="s">
        <v>241</v>
      </c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</row>
    <row r="20" spans="1:25" ht="18">
      <c r="A20" s="276"/>
      <c r="B20" s="277"/>
      <c r="C20" s="277" t="s">
        <v>232</v>
      </c>
      <c r="D20" s="277" t="s">
        <v>242</v>
      </c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</row>
    <row r="21" spans="1:25" ht="18">
      <c r="A21" s="276"/>
      <c r="B21" s="277"/>
      <c r="C21" s="277" t="s">
        <v>235</v>
      </c>
      <c r="D21" s="277" t="s">
        <v>254</v>
      </c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</row>
    <row r="22" spans="1:25" ht="18">
      <c r="A22" s="276"/>
      <c r="B22" s="277"/>
      <c r="C22" s="277"/>
      <c r="D22" s="277" t="s">
        <v>255</v>
      </c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</row>
    <row r="23" spans="1:25" ht="18">
      <c r="A23" s="276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</row>
    <row r="24" spans="1:25" ht="18">
      <c r="A24" s="276">
        <v>4</v>
      </c>
      <c r="B24" s="277" t="s">
        <v>243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</row>
    <row r="25" spans="1:25" ht="18">
      <c r="A25" s="276"/>
      <c r="B25" s="277" t="s">
        <v>58</v>
      </c>
      <c r="C25" s="277" t="s">
        <v>230</v>
      </c>
      <c r="D25" s="277" t="s">
        <v>256</v>
      </c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</row>
    <row r="26" spans="1:25" ht="18">
      <c r="A26" s="276"/>
      <c r="B26" s="277"/>
      <c r="C26" s="277"/>
      <c r="D26" s="277" t="s">
        <v>257</v>
      </c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</row>
    <row r="27" spans="1:25" ht="18">
      <c r="A27" s="276"/>
      <c r="B27" s="277"/>
      <c r="C27" s="277" t="s">
        <v>232</v>
      </c>
      <c r="D27" s="277" t="s">
        <v>244</v>
      </c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</row>
    <row r="28" spans="1:25" ht="18">
      <c r="A28" s="276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</row>
    <row r="29" spans="1:25" ht="18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</row>
    <row r="30" spans="1:25" ht="18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</row>
    <row r="31" spans="1:25" ht="18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</row>
    <row r="32" spans="1:25" ht="18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</row>
  </sheetData>
  <printOptions/>
  <pageMargins left="0.75" right="0.75" top="1" bottom="0.67" header="0.5" footer="0.5"/>
  <pageSetup horizontalDpi="600" verticalDpi="600" orientation="landscape" r:id="rId1"/>
  <headerFooter alignWithMargins="0">
    <oddHeader>&amp;LEVR Technology Review&amp;RAppendix 4</oddHeader>
    <oddFooter>&amp;RPage 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="75" zoomScaleNormal="75" workbookViewId="0" topLeftCell="A64">
      <selection activeCell="D64" sqref="D64"/>
    </sheetView>
  </sheetViews>
  <sheetFormatPr defaultColWidth="9.140625" defaultRowHeight="12.75"/>
  <cols>
    <col min="1" max="1" width="10.28125" style="121" customWidth="1"/>
    <col min="2" max="2" width="26.7109375" style="93" customWidth="1"/>
    <col min="3" max="3" width="29.28125" style="93" customWidth="1"/>
    <col min="4" max="4" width="19.57421875" style="93" customWidth="1"/>
    <col min="5" max="5" width="22.28125" style="93" customWidth="1"/>
    <col min="6" max="6" width="21.7109375" style="93" customWidth="1"/>
    <col min="7" max="7" width="21.57421875" style="93" customWidth="1"/>
    <col min="8" max="8" width="22.8515625" style="93" customWidth="1"/>
    <col min="9" max="9" width="20.57421875" style="93" customWidth="1"/>
    <col min="10" max="16384" width="8.421875" style="93" customWidth="1"/>
  </cols>
  <sheetData>
    <row r="1" ht="15">
      <c r="A1" s="121" t="s">
        <v>0</v>
      </c>
    </row>
    <row r="3" spans="1:9" ht="18">
      <c r="A3" s="141"/>
      <c r="B3" s="78"/>
      <c r="C3" s="160" t="s">
        <v>1</v>
      </c>
      <c r="D3" s="78"/>
      <c r="E3" s="78"/>
      <c r="F3" s="78"/>
      <c r="G3" s="78"/>
      <c r="H3" s="78"/>
      <c r="I3" s="78"/>
    </row>
    <row r="4" spans="1:9" ht="18">
      <c r="A4" s="141"/>
      <c r="B4" s="78"/>
      <c r="C4" s="78"/>
      <c r="D4" s="78"/>
      <c r="E4" s="78"/>
      <c r="F4" s="78"/>
      <c r="G4" s="78"/>
      <c r="H4" s="78"/>
      <c r="I4" s="78"/>
    </row>
    <row r="5" spans="1:9" ht="18">
      <c r="A5" s="141"/>
      <c r="B5" s="50"/>
      <c r="C5" s="50"/>
      <c r="D5" s="23" t="s">
        <v>2</v>
      </c>
      <c r="E5" s="23"/>
      <c r="F5" s="23"/>
      <c r="G5" s="23"/>
      <c r="H5" s="23"/>
      <c r="I5" s="78"/>
    </row>
    <row r="6" spans="1:9" ht="18">
      <c r="A6" s="141"/>
      <c r="B6" s="50"/>
      <c r="C6" s="50"/>
      <c r="D6" s="170" t="s">
        <v>3</v>
      </c>
      <c r="E6" s="181"/>
      <c r="F6" s="181"/>
      <c r="G6" s="181"/>
      <c r="H6" s="184"/>
      <c r="I6" s="78"/>
    </row>
    <row r="7" spans="1:9" ht="18">
      <c r="A7" s="142" t="s">
        <v>4</v>
      </c>
      <c r="B7" s="152"/>
      <c r="C7" s="161"/>
      <c r="D7" s="166">
        <v>1</v>
      </c>
      <c r="E7" s="166">
        <v>2</v>
      </c>
      <c r="F7" s="166">
        <v>3</v>
      </c>
      <c r="G7" s="166">
        <v>4</v>
      </c>
      <c r="H7" s="166">
        <v>5</v>
      </c>
      <c r="I7" s="78"/>
    </row>
    <row r="8" spans="1:9" ht="18">
      <c r="A8" s="143" t="s">
        <v>5</v>
      </c>
      <c r="B8" s="153"/>
      <c r="C8" s="162"/>
      <c r="D8" s="171">
        <v>13233.050847457625</v>
      </c>
      <c r="E8" s="171">
        <f>'GDF Distr'!$E9</f>
        <v>37500</v>
      </c>
      <c r="F8" s="171">
        <f>'GDF Distr'!$E10</f>
        <v>75000</v>
      </c>
      <c r="G8" s="171">
        <f>'GDF Distr'!$E11</f>
        <v>150000</v>
      </c>
      <c r="H8" s="171">
        <f>'GDF Distr'!$E12</f>
        <v>300000</v>
      </c>
      <c r="I8" s="78"/>
    </row>
    <row r="9" spans="1:9" ht="18">
      <c r="A9" s="144" t="s">
        <v>6</v>
      </c>
      <c r="B9" s="154"/>
      <c r="C9" s="163"/>
      <c r="D9" s="172">
        <f>SUM(('GDF Distr'!$G6),('GDF Distr'!$G7),('GDF Distr'!$G8))</f>
        <v>0.04719999999999999</v>
      </c>
      <c r="E9" s="172">
        <f>'GDF Distr'!$G9</f>
        <v>0.14100000000000001</v>
      </c>
      <c r="F9" s="172">
        <f>'GDF Distr'!$G10</f>
        <v>0.45651999999999987</v>
      </c>
      <c r="G9" s="172">
        <f>'GDF Distr'!$G11</f>
        <v>0.31304</v>
      </c>
      <c r="H9" s="172">
        <f>'GDF Distr'!$G12</f>
        <v>0.04224</v>
      </c>
      <c r="I9" s="188"/>
    </row>
    <row r="10" spans="1:9" ht="18">
      <c r="A10" s="144" t="s">
        <v>7</v>
      </c>
      <c r="B10" s="154"/>
      <c r="C10" s="163"/>
      <c r="D10" s="173">
        <f>D9*$G$18</f>
        <v>530.9999999999999</v>
      </c>
      <c r="E10" s="173">
        <f>E9*$G$18</f>
        <v>1586.2500000000002</v>
      </c>
      <c r="F10" s="173">
        <f>F9*$G$18</f>
        <v>5135.8499999999985</v>
      </c>
      <c r="G10" s="173">
        <f>G9*$G$18</f>
        <v>3521.7</v>
      </c>
      <c r="H10" s="173">
        <f>H9*$G$18</f>
        <v>475.2</v>
      </c>
      <c r="I10" s="78"/>
    </row>
    <row r="11" spans="1:9" ht="18">
      <c r="A11" s="144" t="s">
        <v>8</v>
      </c>
      <c r="B11" s="154"/>
      <c r="C11" s="163"/>
      <c r="D11" s="173">
        <f>D8*12*D10/1000000</f>
        <v>84.32099999999997</v>
      </c>
      <c r="E11" s="173">
        <f>(E8/$D$17)*(E9)*($G$17)/1000000</f>
        <v>769.1498026447924</v>
      </c>
      <c r="F11" s="173">
        <f>(F8/$D$17)*(F9)*($G$17)/1000000</f>
        <v>4980.599544729085</v>
      </c>
      <c r="G11" s="173">
        <f>(G8/$D$17)*(G9)*($G$17)/1000000</f>
        <v>6830.486644536902</v>
      </c>
      <c r="H11" s="173">
        <f>(H8/$D$17)*(H9)*($G$17)/1000000</f>
        <v>1843.3411440406255</v>
      </c>
      <c r="I11" s="189"/>
    </row>
    <row r="12" spans="1:10" ht="18">
      <c r="A12" s="145" t="s">
        <v>9</v>
      </c>
      <c r="B12" s="155"/>
      <c r="C12" s="164"/>
      <c r="D12" s="174">
        <v>1</v>
      </c>
      <c r="E12" s="174">
        <v>1</v>
      </c>
      <c r="F12" s="174">
        <v>1</v>
      </c>
      <c r="G12" s="174">
        <v>1</v>
      </c>
      <c r="H12" s="174">
        <v>1</v>
      </c>
      <c r="I12" s="78"/>
      <c r="J12" s="119"/>
    </row>
    <row r="13" spans="1:10" ht="18">
      <c r="A13" s="145" t="s">
        <v>10</v>
      </c>
      <c r="B13" s="155"/>
      <c r="C13" s="164"/>
      <c r="D13" s="174">
        <v>2.5</v>
      </c>
      <c r="E13" s="174">
        <v>2.5</v>
      </c>
      <c r="F13" s="174">
        <v>2.5</v>
      </c>
      <c r="G13" s="174">
        <v>2.5</v>
      </c>
      <c r="H13" s="174">
        <v>2.5</v>
      </c>
      <c r="I13" s="78"/>
      <c r="J13" s="119"/>
    </row>
    <row r="14" spans="1:9" ht="18">
      <c r="A14" s="144" t="s">
        <v>11</v>
      </c>
      <c r="B14" s="154"/>
      <c r="C14" s="163"/>
      <c r="D14" s="175">
        <v>2.5</v>
      </c>
      <c r="E14" s="175">
        <v>3.25</v>
      </c>
      <c r="F14" s="175">
        <v>6.5</v>
      </c>
      <c r="G14" s="175">
        <v>9.75</v>
      </c>
      <c r="H14" s="175">
        <v>16.25</v>
      </c>
      <c r="I14" s="78"/>
    </row>
    <row r="15" spans="1:9" ht="18">
      <c r="A15" s="354" t="s">
        <v>347</v>
      </c>
      <c r="B15" s="327"/>
      <c r="C15" s="355"/>
      <c r="D15" s="151">
        <v>2</v>
      </c>
      <c r="E15" s="151">
        <v>3</v>
      </c>
      <c r="F15" s="151">
        <v>6</v>
      </c>
      <c r="G15" s="151">
        <v>9</v>
      </c>
      <c r="H15" s="151">
        <v>12</v>
      </c>
      <c r="I15" s="78"/>
    </row>
    <row r="16" spans="1:9" ht="18">
      <c r="A16" s="146"/>
      <c r="B16" s="146"/>
      <c r="C16" s="50"/>
      <c r="D16" s="141"/>
      <c r="E16" s="141"/>
      <c r="F16" s="141"/>
      <c r="G16" s="141"/>
      <c r="H16" s="141"/>
      <c r="I16" s="78"/>
    </row>
    <row r="17" spans="1:9" ht="18">
      <c r="A17" s="146" t="s">
        <v>12</v>
      </c>
      <c r="B17" s="146"/>
      <c r="C17" s="50"/>
      <c r="D17" s="176">
        <v>99779.1</v>
      </c>
      <c r="E17" s="78"/>
      <c r="F17" s="183" t="s">
        <v>349</v>
      </c>
      <c r="G17" s="176">
        <v>14514435002</v>
      </c>
      <c r="H17" s="141" t="s">
        <v>13</v>
      </c>
      <c r="I17" s="78"/>
    </row>
    <row r="18" spans="1:9" ht="18">
      <c r="A18" s="146" t="s">
        <v>14</v>
      </c>
      <c r="B18" s="50"/>
      <c r="C18" s="50"/>
      <c r="D18" s="176">
        <v>99865</v>
      </c>
      <c r="E18" s="78"/>
      <c r="F18" s="183" t="s">
        <v>15</v>
      </c>
      <c r="G18" s="176">
        <v>11250</v>
      </c>
      <c r="H18" s="78"/>
      <c r="I18" s="78"/>
    </row>
    <row r="19" spans="1:9" ht="18">
      <c r="A19" s="50"/>
      <c r="B19" s="50"/>
      <c r="C19" s="50"/>
      <c r="D19" s="78"/>
      <c r="E19" s="78"/>
      <c r="F19" s="78"/>
      <c r="G19" s="78"/>
      <c r="H19" s="78"/>
      <c r="I19" s="78"/>
    </row>
    <row r="20" spans="1:10" ht="18">
      <c r="A20" s="147"/>
      <c r="B20" s="147"/>
      <c r="C20" s="147"/>
      <c r="D20" s="147"/>
      <c r="E20" s="147"/>
      <c r="F20" s="147"/>
      <c r="G20" s="147"/>
      <c r="H20" s="147"/>
      <c r="I20" s="147"/>
      <c r="J20" s="119"/>
    </row>
    <row r="21" spans="1:9" ht="18">
      <c r="A21" s="78"/>
      <c r="B21" s="50"/>
      <c r="C21" s="78"/>
      <c r="D21" s="23" t="s">
        <v>16</v>
      </c>
      <c r="E21" s="23"/>
      <c r="F21" s="23"/>
      <c r="G21" s="23"/>
      <c r="H21" s="23"/>
      <c r="I21" s="78"/>
    </row>
    <row r="22" spans="1:9" ht="18">
      <c r="A22" s="141"/>
      <c r="B22" s="50"/>
      <c r="C22" s="165">
        <v>2010</v>
      </c>
      <c r="D22" s="177" t="s">
        <v>17</v>
      </c>
      <c r="E22" s="182"/>
      <c r="F22" s="182"/>
      <c r="G22" s="182"/>
      <c r="H22" s="185"/>
      <c r="I22" s="146"/>
    </row>
    <row r="23" spans="1:12" ht="18">
      <c r="A23" s="141"/>
      <c r="B23" s="78"/>
      <c r="C23" s="166" t="s">
        <v>18</v>
      </c>
      <c r="D23" s="178" t="s">
        <v>19</v>
      </c>
      <c r="E23" s="50"/>
      <c r="F23" s="50"/>
      <c r="G23" s="50"/>
      <c r="H23" s="186"/>
      <c r="I23" s="146"/>
      <c r="J23" s="60"/>
      <c r="K23" s="60"/>
      <c r="L23" s="60"/>
    </row>
    <row r="24" spans="1:9" ht="18">
      <c r="A24" s="148" t="s">
        <v>20</v>
      </c>
      <c r="B24" s="156" t="s">
        <v>21</v>
      </c>
      <c r="C24" s="167" t="s">
        <v>22</v>
      </c>
      <c r="D24" s="148">
        <v>1</v>
      </c>
      <c r="E24" s="148">
        <v>2</v>
      </c>
      <c r="F24" s="148">
        <v>3</v>
      </c>
      <c r="G24" s="148">
        <v>4</v>
      </c>
      <c r="H24" s="148">
        <v>5</v>
      </c>
      <c r="I24" s="50"/>
    </row>
    <row r="25" spans="1:9" ht="18">
      <c r="A25" s="149">
        <v>1</v>
      </c>
      <c r="B25" s="157" t="s">
        <v>23</v>
      </c>
      <c r="C25" s="328">
        <v>5.5</v>
      </c>
      <c r="D25" s="179">
        <f aca="true" t="shared" si="0" ref="D25:H30">$C25*D$11/(SUM($D$11:$H$11))</f>
        <v>0.03196641551064949</v>
      </c>
      <c r="E25" s="179">
        <f t="shared" si="0"/>
        <v>0.29158764935517245</v>
      </c>
      <c r="F25" s="179">
        <f t="shared" si="0"/>
        <v>1.888164449413096</v>
      </c>
      <c r="G25" s="179">
        <f t="shared" si="0"/>
        <v>2.5894637660749833</v>
      </c>
      <c r="H25" s="187">
        <f t="shared" si="0"/>
        <v>0.6988177196460982</v>
      </c>
      <c r="I25" s="50"/>
    </row>
    <row r="26" spans="1:9" ht="18">
      <c r="A26" s="150">
        <v>2</v>
      </c>
      <c r="B26" s="158" t="s">
        <v>24</v>
      </c>
      <c r="C26" s="168">
        <v>3.1</v>
      </c>
      <c r="D26" s="179">
        <f t="shared" si="0"/>
        <v>0.01801743419691153</v>
      </c>
      <c r="E26" s="179">
        <f t="shared" si="0"/>
        <v>0.16434940236382448</v>
      </c>
      <c r="F26" s="179">
        <f t="shared" si="0"/>
        <v>1.0642381442146542</v>
      </c>
      <c r="G26" s="179">
        <f t="shared" si="0"/>
        <v>1.4595159408786271</v>
      </c>
      <c r="H26" s="187">
        <f t="shared" si="0"/>
        <v>0.3938790783459826</v>
      </c>
      <c r="I26" s="50"/>
    </row>
    <row r="27" spans="1:9" ht="18">
      <c r="A27" s="150">
        <v>3</v>
      </c>
      <c r="B27" s="158" t="s">
        <v>25</v>
      </c>
      <c r="C27" s="316">
        <v>4.5</v>
      </c>
      <c r="D27" s="179">
        <f t="shared" si="0"/>
        <v>0.026154339963258673</v>
      </c>
      <c r="E27" s="179">
        <f t="shared" si="0"/>
        <v>0.23857171310877745</v>
      </c>
      <c r="F27" s="179">
        <f t="shared" si="0"/>
        <v>1.5448618222470787</v>
      </c>
      <c r="G27" s="179">
        <f t="shared" si="0"/>
        <v>2.1186521722431686</v>
      </c>
      <c r="H27" s="187">
        <f t="shared" si="0"/>
        <v>0.5717599524377167</v>
      </c>
      <c r="I27" s="50"/>
    </row>
    <row r="28" spans="1:9" ht="18">
      <c r="A28" s="150">
        <v>4</v>
      </c>
      <c r="B28" s="158" t="s">
        <v>26</v>
      </c>
      <c r="C28" s="168">
        <v>0.2</v>
      </c>
      <c r="D28" s="179">
        <f t="shared" si="0"/>
        <v>0.0011624151094781633</v>
      </c>
      <c r="E28" s="179">
        <f t="shared" si="0"/>
        <v>0.010603187249279</v>
      </c>
      <c r="F28" s="179">
        <f t="shared" si="0"/>
        <v>0.0686605254332035</v>
      </c>
      <c r="G28" s="179">
        <f t="shared" si="0"/>
        <v>0.09416231876636304</v>
      </c>
      <c r="H28" s="187">
        <f t="shared" si="0"/>
        <v>0.025411553441676303</v>
      </c>
      <c r="I28" s="50"/>
    </row>
    <row r="29" spans="1:9" ht="18">
      <c r="A29" s="150">
        <v>5</v>
      </c>
      <c r="B29" s="158" t="s">
        <v>27</v>
      </c>
      <c r="C29" s="168">
        <v>3.9</v>
      </c>
      <c r="D29" s="179">
        <f t="shared" si="0"/>
        <v>0.022667094634824185</v>
      </c>
      <c r="E29" s="179">
        <f t="shared" si="0"/>
        <v>0.20676215136094045</v>
      </c>
      <c r="F29" s="179">
        <f t="shared" si="0"/>
        <v>1.3388802459474682</v>
      </c>
      <c r="G29" s="179">
        <f t="shared" si="0"/>
        <v>1.836165215944079</v>
      </c>
      <c r="H29" s="187">
        <f t="shared" si="0"/>
        <v>0.49552529211268787</v>
      </c>
      <c r="I29" s="50"/>
    </row>
    <row r="30" spans="1:9" ht="18">
      <c r="A30" s="150">
        <v>6</v>
      </c>
      <c r="B30" s="158" t="s">
        <v>28</v>
      </c>
      <c r="C30" s="316">
        <v>8.5</v>
      </c>
      <c r="D30" s="356">
        <v>1E-08</v>
      </c>
      <c r="E30" s="179">
        <f t="shared" si="0"/>
        <v>0.4506354580943574</v>
      </c>
      <c r="F30" s="179">
        <f t="shared" si="0"/>
        <v>2.9180723309111487</v>
      </c>
      <c r="G30" s="179">
        <f t="shared" si="0"/>
        <v>4.001898547570429</v>
      </c>
      <c r="H30" s="187">
        <f t="shared" si="0"/>
        <v>1.0799910212712427</v>
      </c>
      <c r="I30" s="50"/>
    </row>
    <row r="31" spans="1:9" ht="18">
      <c r="A31" s="151"/>
      <c r="B31" s="159" t="s">
        <v>29</v>
      </c>
      <c r="C31" s="169">
        <f aca="true" t="shared" si="1" ref="C31:H31">SUM(C25:C30)</f>
        <v>25.7</v>
      </c>
      <c r="D31" s="180">
        <f t="shared" si="1"/>
        <v>0.09996770941512204</v>
      </c>
      <c r="E31" s="180">
        <f t="shared" si="1"/>
        <v>1.3625095615323513</v>
      </c>
      <c r="F31" s="180">
        <f t="shared" si="1"/>
        <v>8.82287751816665</v>
      </c>
      <c r="G31" s="180">
        <f t="shared" si="1"/>
        <v>12.099857961477651</v>
      </c>
      <c r="H31" s="180">
        <f t="shared" si="1"/>
        <v>3.265384617255404</v>
      </c>
      <c r="I31" s="50"/>
    </row>
    <row r="32" spans="1:9" ht="18">
      <c r="A32" s="141"/>
      <c r="B32" s="78"/>
      <c r="C32" s="78"/>
      <c r="D32" s="78"/>
      <c r="E32" s="78"/>
      <c r="F32" s="78"/>
      <c r="G32" s="78"/>
      <c r="H32" s="78"/>
      <c r="I32" s="78"/>
    </row>
    <row r="33" spans="1:9" ht="15">
      <c r="A33" s="61"/>
      <c r="B33" s="119"/>
      <c r="C33" s="119"/>
      <c r="D33" s="119"/>
      <c r="E33" s="119"/>
      <c r="F33" s="119"/>
      <c r="G33" s="119"/>
      <c r="H33" s="119"/>
      <c r="I33" s="119"/>
    </row>
    <row r="34" spans="1:9" ht="18">
      <c r="A34" s="190"/>
      <c r="B34" s="198"/>
      <c r="C34" s="204"/>
      <c r="D34" s="40" t="s">
        <v>30</v>
      </c>
      <c r="E34" s="40"/>
      <c r="F34" s="40"/>
      <c r="G34" s="40"/>
      <c r="H34" s="214"/>
      <c r="I34" s="50"/>
    </row>
    <row r="35" spans="1:9" ht="18">
      <c r="A35" s="191"/>
      <c r="B35" s="50"/>
      <c r="C35" s="78"/>
      <c r="D35" s="177" t="s">
        <v>31</v>
      </c>
      <c r="E35" s="182"/>
      <c r="F35" s="182"/>
      <c r="G35" s="182"/>
      <c r="H35" s="185"/>
      <c r="I35" s="165" t="s">
        <v>32</v>
      </c>
    </row>
    <row r="36" spans="1:9" ht="18">
      <c r="A36" s="191"/>
      <c r="B36" s="78"/>
      <c r="C36" s="78"/>
      <c r="D36" s="178" t="s">
        <v>33</v>
      </c>
      <c r="E36" s="50"/>
      <c r="F36" s="50"/>
      <c r="G36" s="50"/>
      <c r="H36" s="186"/>
      <c r="I36" s="166" t="s">
        <v>34</v>
      </c>
    </row>
    <row r="37" spans="1:9" ht="18">
      <c r="A37" s="148" t="s">
        <v>20</v>
      </c>
      <c r="B37" s="170" t="s">
        <v>21</v>
      </c>
      <c r="C37" s="205"/>
      <c r="D37" s="148">
        <v>1</v>
      </c>
      <c r="E37" s="148">
        <v>2</v>
      </c>
      <c r="F37" s="148">
        <v>3</v>
      </c>
      <c r="G37" s="148">
        <v>4</v>
      </c>
      <c r="H37" s="148">
        <v>5</v>
      </c>
      <c r="I37" s="166" t="s">
        <v>35</v>
      </c>
    </row>
    <row r="38" spans="1:9" ht="18">
      <c r="A38" s="192">
        <v>1</v>
      </c>
      <c r="B38" s="199" t="s">
        <v>36</v>
      </c>
      <c r="C38" s="206"/>
      <c r="D38" s="279">
        <f>SUM(D39:D42)/(D$25*365*2000)</f>
        <v>25.438269337404186</v>
      </c>
      <c r="E38" s="279">
        <f>SUM(E39:E42)/(E$25*365*2000)</f>
        <v>8.161125398130006</v>
      </c>
      <c r="F38" s="279">
        <f>SUM(F39:F42)/(F$25*365*2000)</f>
        <v>3.954372222874527</v>
      </c>
      <c r="G38" s="279">
        <f>SUM(G39:G42)/(G$25*365*2000)</f>
        <v>3.786886598053071</v>
      </c>
      <c r="H38" s="217">
        <f>SUM(H39:H42)/(H$25*365*2000)</f>
        <v>0.8108528579264832</v>
      </c>
      <c r="I38" s="215">
        <f>(SUM(D39:D42)+SUM(E39:E42)+SUM(F39:F42)+SUM(G39:G42)+SUM(H39:H42))/(C$25*2000*365)</f>
        <v>3.824000488447494</v>
      </c>
    </row>
    <row r="39" spans="1:9" ht="18">
      <c r="A39" s="193"/>
      <c r="B39" s="200" t="s">
        <v>37</v>
      </c>
      <c r="C39" s="207"/>
      <c r="D39" s="280">
        <f>(0.88)*D10*'GDF 1'!$I$20</f>
        <v>571908.0433017118</v>
      </c>
      <c r="E39" s="280">
        <f>(0.88)*E10*'GDF 2'!$I$20</f>
        <v>1708454.112405538</v>
      </c>
      <c r="F39" s="280">
        <f>(0.88)*F10*'GDF 3'!$I$20</f>
        <v>5531513.981527489</v>
      </c>
      <c r="G39" s="280">
        <f>(0.88)*G10*'GDF 4'!$I$20</f>
        <v>7425437.2929897215</v>
      </c>
      <c r="H39" s="281">
        <f>(0.88)*H10*'GDF 5'!$I$20</f>
        <v>511809.2319717015</v>
      </c>
      <c r="I39" s="216"/>
    </row>
    <row r="40" spans="1:9" ht="18">
      <c r="A40" s="193"/>
      <c r="B40" s="200" t="s">
        <v>38</v>
      </c>
      <c r="C40" s="207"/>
      <c r="D40" s="280">
        <f>1.06*0.05*('RD Costs'!$B$43)*$D$9</f>
        <v>16580.383921147884</v>
      </c>
      <c r="E40" s="280">
        <f>1.06*0.05*('RD Costs'!$B$43)*$E$9</f>
        <v>49530.384171225676</v>
      </c>
      <c r="F40" s="280">
        <f>1.06*0.05*('RD Costs'!$B$43)*$F$9</f>
        <v>160366.0353322549</v>
      </c>
      <c r="G40" s="280">
        <f>1.06*0.05*('RD Costs'!$B$43)*$G$9</f>
        <v>109964.47844652826</v>
      </c>
      <c r="H40" s="281">
        <f>0.05*('RD Costs'!$B$43)*$H$9</f>
        <v>13998.14952089236</v>
      </c>
      <c r="I40" s="216"/>
    </row>
    <row r="41" spans="1:9" ht="18">
      <c r="A41" s="193"/>
      <c r="B41" s="200" t="s">
        <v>39</v>
      </c>
      <c r="C41" s="207"/>
      <c r="D41" s="280">
        <f>1.06*0.05*(CertTestCosts!$B$29)*$D$9</f>
        <v>11015.314165643798</v>
      </c>
      <c r="E41" s="280">
        <f>1.06*0.05*(CertTestCosts!$B$29)*$E$9</f>
        <v>32905.91731685966</v>
      </c>
      <c r="F41" s="280">
        <f>1.06*0.05*(CertTestCosts!$B$29)*$F$9</f>
        <v>106540.492010587</v>
      </c>
      <c r="G41" s="280">
        <f>1.06*0.05*(CertTestCosts!$B$29)*$G$9</f>
        <v>73055.80394943082</v>
      </c>
      <c r="H41" s="281">
        <f>0.05*(CertTestCosts!$B$29)*$H$9</f>
        <v>9299.785544387474</v>
      </c>
      <c r="I41" s="216"/>
    </row>
    <row r="42" spans="1:9" ht="18">
      <c r="A42" s="194"/>
      <c r="B42" s="201" t="s">
        <v>40</v>
      </c>
      <c r="C42" s="208"/>
      <c r="D42" s="280">
        <f>-1.06*D25*$C$74*(2000*365/$C$76)</f>
        <v>-5889.431505271567</v>
      </c>
      <c r="E42" s="280">
        <f>-1.06*E25*$C$74*(2000*365/$C$76)</f>
        <v>-53721.55311215059</v>
      </c>
      <c r="F42" s="280">
        <f>-1.06*F25*$C$74*(2000*365/$C$76)</f>
        <v>-347871.8216561557</v>
      </c>
      <c r="G42" s="280">
        <f>-G25*$C$74*(2000*365/$C$76)</f>
        <v>-450073.464103509</v>
      </c>
      <c r="H42" s="280">
        <f>-H25*$C$74*(2000*365/$C$76)</f>
        <v>-121461.17508134563</v>
      </c>
      <c r="I42" s="216"/>
    </row>
    <row r="43" spans="1:9" ht="18">
      <c r="A43" s="192">
        <v>2</v>
      </c>
      <c r="B43" s="199" t="s">
        <v>41</v>
      </c>
      <c r="C43" s="206"/>
      <c r="D43" s="279">
        <f>SUM(D44:D47)/(D$26*365*2000)</f>
        <v>105.93323073466297</v>
      </c>
      <c r="E43" s="279">
        <f>SUM(E44:E47)/(E$26*365*2000)</f>
        <v>36.800957893918095</v>
      </c>
      <c r="F43" s="279">
        <f>SUM(F44:F47)/(F$26*365*2000)</f>
        <v>23.210608810481318</v>
      </c>
      <c r="G43" s="279">
        <f>SUM(G44:G47)/(G$26*365*2000)</f>
        <v>13.947274098906552</v>
      </c>
      <c r="H43" s="217">
        <f>SUM(H44:H47)/(H$26*365*2000)</f>
        <v>8.088212775946639</v>
      </c>
      <c r="I43" s="215">
        <f>(SUM(D44:D47)+SUM(E44:E47)+SUM(F44:F47)+SUM(G44:G47)+SUM(H44:H47))/(C$26*2000*365)</f>
        <v>18.129200764413696</v>
      </c>
    </row>
    <row r="44" spans="1:9" ht="18">
      <c r="A44" s="193"/>
      <c r="B44" s="200" t="s">
        <v>37</v>
      </c>
      <c r="C44" s="207"/>
      <c r="D44" s="280">
        <f>(0.88)*D10*'GDF 1'!$I$57</f>
        <v>1120673.3771300665</v>
      </c>
      <c r="E44" s="280">
        <f>(0.88)*E10*'GDF 2'!$I$57</f>
        <v>3621113.6744498233</v>
      </c>
      <c r="F44" s="280">
        <f>(0.88)*F10*'GDF 3'!$I$57</f>
        <v>15559187.065129438</v>
      </c>
      <c r="G44" s="280">
        <f>(0.88)*G10*'GDF 4'!$I$57</f>
        <v>13298771.894742647</v>
      </c>
      <c r="H44" s="281">
        <f>(0.88)*H10*'GDF 5'!$I$57</f>
        <v>2151227.2088255608</v>
      </c>
      <c r="I44" s="216"/>
    </row>
    <row r="45" spans="1:9" ht="18">
      <c r="A45" s="193"/>
      <c r="B45" s="200" t="s">
        <v>42</v>
      </c>
      <c r="C45" s="207"/>
      <c r="D45" s="280">
        <f>1.06*0.5*('RD Costs'!$B$43)*$D$9</f>
        <v>165803.8392114788</v>
      </c>
      <c r="E45" s="280">
        <f>1.06*0.5*('RD Costs'!$B$43)*$E$9</f>
        <v>495303.8417122567</v>
      </c>
      <c r="F45" s="280">
        <f>1.06*0.5*('RD Costs'!$B$43)*$F$9</f>
        <v>1603660.3533225486</v>
      </c>
      <c r="G45" s="280">
        <f>1.06*0.5*('RD Costs'!$B$43)*$G$9</f>
        <v>1099644.7844652825</v>
      </c>
      <c r="H45" s="281">
        <f>0.5*1.06*('RD Costs'!$B$43)*$H$9</f>
        <v>148380.38492145902</v>
      </c>
      <c r="I45" s="216"/>
    </row>
    <row r="46" spans="1:9" ht="18">
      <c r="A46" s="193"/>
      <c r="B46" s="200" t="s">
        <v>43</v>
      </c>
      <c r="C46" s="207"/>
      <c r="D46" s="280">
        <f>1.06*0.5*(CertTestCosts!$B$29)*$D$9</f>
        <v>110153.14165643799</v>
      </c>
      <c r="E46" s="280">
        <f>1.06*0.5*(CertTestCosts!$B$29)*$E$9</f>
        <v>329059.17316859664</v>
      </c>
      <c r="F46" s="280">
        <f>1.06*0.5*(CertTestCosts!$B$29)*$F$9</f>
        <v>1065404.9201058699</v>
      </c>
      <c r="G46" s="280">
        <f>1.06*0.5*(CertTestCosts!$B$29)*$G$9</f>
        <v>730558.0394943083</v>
      </c>
      <c r="H46" s="281">
        <f>1.06*0.5*(CertTestCosts!$B$29)*$H$9</f>
        <v>98577.72677050723</v>
      </c>
      <c r="I46" s="216"/>
    </row>
    <row r="47" spans="1:9" ht="18">
      <c r="A47" s="195"/>
      <c r="B47" s="201" t="s">
        <v>40</v>
      </c>
      <c r="C47" s="208"/>
      <c r="D47" s="280">
        <f>-1.06*D26*$C$74*(2000*365/$C$76)</f>
        <v>-3319.4977575167013</v>
      </c>
      <c r="E47" s="280">
        <f>-1.06*E26*$C$74*(2000*365/$C$76)</f>
        <v>-30279.42084503033</v>
      </c>
      <c r="F47" s="280">
        <f>-1.06*F26*$C$74*(2000*365/$C$76)</f>
        <v>-196073.2085698332</v>
      </c>
      <c r="G47" s="280">
        <f>-1.06*G26*$C$74*(2000*365/$C$76)</f>
        <v>-268898.4369171147</v>
      </c>
      <c r="H47" s="280">
        <f>-1.06*H26*$C$74*(2000*365/$C$76)</f>
        <v>-72567.53114860033</v>
      </c>
      <c r="I47" s="216"/>
    </row>
    <row r="48" spans="1:9" ht="18">
      <c r="A48" s="192">
        <v>3</v>
      </c>
      <c r="B48" s="199" t="s">
        <v>44</v>
      </c>
      <c r="C48" s="206"/>
      <c r="D48" s="279">
        <f>SUM(D49:D52)/(D$27*365*2000)</f>
        <v>6.9181217134976665</v>
      </c>
      <c r="E48" s="279">
        <f>SUM(E49:E52)/(E$27*365*2000)</f>
        <v>2.6586338058840355</v>
      </c>
      <c r="F48" s="279">
        <f>SUM(F49:F52)/(F$27*365*2000)</f>
        <v>2.199575723777809</v>
      </c>
      <c r="G48" s="279">
        <f>SUM(G49:G52)/(G$27*365*2000)</f>
        <v>1.4575363199258484</v>
      </c>
      <c r="H48" s="217">
        <f>SUM(H49:H52)/(H$27*365*2000)</f>
        <v>0.960304388930954</v>
      </c>
      <c r="I48" s="215">
        <f>(SUM(D49:D52)+SUM(E49:E52)+SUM(F49:F52)+SUM(G49:G52)+SUM(H49:H52))/(C$27*2000*365)</f>
        <v>1.7445178603736913</v>
      </c>
    </row>
    <row r="49" spans="1:9" ht="18">
      <c r="A49" s="193"/>
      <c r="B49" s="200" t="s">
        <v>37</v>
      </c>
      <c r="C49" s="207"/>
      <c r="D49" s="280">
        <f>(0.88)*D10*'GDF 1'!$I$75</f>
        <v>81712.63186093133</v>
      </c>
      <c r="E49" s="280">
        <f>(0.88)*E10*'GDF 2'!$I$75</f>
        <v>342102.01479170396</v>
      </c>
      <c r="F49" s="280">
        <f>(0.88)*F10*'GDF 3'!$I$75</f>
        <v>2215268.2523788456</v>
      </c>
      <c r="G49" s="280">
        <f>(0.88)*G10*'GDF 4'!$I$75</f>
        <v>2278544.993838191</v>
      </c>
      <c r="H49" s="281">
        <f>(0.88)*H10*'GDF 5'!$I$75</f>
        <v>456764.7642030074</v>
      </c>
      <c r="I49" s="216"/>
    </row>
    <row r="50" spans="1:9" ht="18">
      <c r="A50" s="193"/>
      <c r="B50" s="200" t="s">
        <v>45</v>
      </c>
      <c r="C50" s="207"/>
      <c r="D50" s="280">
        <f>1.06*0.1*('RD Costs'!$B$43)*$D$9</f>
        <v>33160.76784229577</v>
      </c>
      <c r="E50" s="280">
        <f>1.06*0.1*('RD Costs'!$B$43)*$E$9</f>
        <v>99060.76834245135</v>
      </c>
      <c r="F50" s="280">
        <f>1.06*0.1*('RD Costs'!$B$43)*$F$9</f>
        <v>320732.0706645098</v>
      </c>
      <c r="G50" s="280">
        <f>1.06*0.1*('RD Costs'!$B$43)*$G$9</f>
        <v>219928.95689305651</v>
      </c>
      <c r="H50" s="281">
        <f>1.06*0.1*('RD Costs'!$B$43)*$H$9</f>
        <v>29676.07698429181</v>
      </c>
      <c r="I50" s="216"/>
    </row>
    <row r="51" spans="1:9" ht="18">
      <c r="A51" s="193"/>
      <c r="B51" s="200" t="s">
        <v>46</v>
      </c>
      <c r="C51" s="207"/>
      <c r="D51" s="280">
        <f>1.06*0.1*(CertTestCosts!$B$29)*$D$9</f>
        <v>22030.628331287597</v>
      </c>
      <c r="E51" s="280">
        <f>1.06*0.1*(CertTestCosts!$B$29)*$E$9</f>
        <v>65811.83463371932</v>
      </c>
      <c r="F51" s="280">
        <f>1.06*0.1*(CertTestCosts!$B$29)*$F$9</f>
        <v>213080.984021174</v>
      </c>
      <c r="G51" s="280">
        <f>1.06*0.1*(CertTestCosts!$B$29)*$G$9</f>
        <v>146111.60789886164</v>
      </c>
      <c r="H51" s="281">
        <f>1.06*0.1*(CertTestCosts!$B$29)*$H$9</f>
        <v>19715.545354101443</v>
      </c>
      <c r="I51" s="216"/>
    </row>
    <row r="52" spans="1:9" ht="18">
      <c r="A52" s="195"/>
      <c r="B52" s="201" t="s">
        <v>40</v>
      </c>
      <c r="C52" s="208"/>
      <c r="D52" s="280">
        <f>-1.06*D27*$C$74*(2000*365/$C$76)</f>
        <v>-4818.625777040372</v>
      </c>
      <c r="E52" s="280">
        <f>-1.06*E27*$C$74*(2000*365/$C$76)</f>
        <v>-43953.99800085048</v>
      </c>
      <c r="F52" s="280">
        <f>-F27*$C$74*(2000*365/$C$76)</f>
        <v>-268511.69767627795</v>
      </c>
      <c r="G52" s="280">
        <f>-1.06*G27*$C$74*(2000*365/$C$76)</f>
        <v>-390336.4406861343</v>
      </c>
      <c r="H52" s="280">
        <f>-1.06*H27*$C$74*(2000*365/$C$76)</f>
        <v>-105339.96457054887</v>
      </c>
      <c r="I52" s="216"/>
    </row>
    <row r="53" spans="1:9" ht="18">
      <c r="A53" s="192">
        <v>4</v>
      </c>
      <c r="B53" s="199" t="s">
        <v>47</v>
      </c>
      <c r="C53" s="206"/>
      <c r="D53" s="279">
        <f>SUM(D54:D57)/(D$28*365*2000)</f>
        <v>62.191389330765375</v>
      </c>
      <c r="E53" s="279">
        <f>SUM(E54:E57)/(E$28*365*2000)</f>
        <v>23.13740974199965</v>
      </c>
      <c r="F53" s="279">
        <f>SUM(F54:F57)/(F$28*365*2000)</f>
        <v>17.812292032590328</v>
      </c>
      <c r="G53" s="279">
        <f>SUM(G54:G57)/(G$28*365*2000)</f>
        <v>11.964844358995178</v>
      </c>
      <c r="H53" s="217">
        <f>SUM(H54:H57)/(H$28*365*2000)</f>
        <v>9.041120522197607</v>
      </c>
      <c r="I53" s="217">
        <f>(SUM(D54:D57)+SUM(E54:E57)+SUM(F54:F57)+SUM(G54:G57)+SUM(H54:H57))/(C$28*2000*365)</f>
        <v>14.485051172833185</v>
      </c>
    </row>
    <row r="54" spans="1:9" ht="18">
      <c r="A54" s="193"/>
      <c r="B54" s="200" t="s">
        <v>37</v>
      </c>
      <c r="C54" s="207"/>
      <c r="D54" s="280">
        <f>(0.88)*D10*'GDF 1'!$I$82</f>
        <v>25391.776824244687</v>
      </c>
      <c r="E54" s="280">
        <f>(0.88)*E10*'GDF 2'!$I$82</f>
        <v>98608.31974330623</v>
      </c>
      <c r="F54" s="280">
        <f>(0.88)*F10*'GDF 3'!$I$82</f>
        <v>638534.3280739593</v>
      </c>
      <c r="G54" s="280">
        <f>(0.88)*G10*'GDF 4'!$I$82</f>
        <v>656773.370477544</v>
      </c>
      <c r="H54" s="281">
        <f>(0.88)*H10*'GDF 5'!$I$82</f>
        <v>147702.67467933524</v>
      </c>
      <c r="I54" s="216"/>
    </row>
    <row r="55" spans="1:9" ht="18">
      <c r="A55" s="193"/>
      <c r="B55" s="200" t="s">
        <v>38</v>
      </c>
      <c r="C55" s="207"/>
      <c r="D55" s="280">
        <f>1.06*0.05*('RD Costs'!$B$43)*$D$9</f>
        <v>16580.383921147884</v>
      </c>
      <c r="E55" s="280">
        <f>1.06*0.05*('RD Costs'!$B$43)*$E$9</f>
        <v>49530.384171225676</v>
      </c>
      <c r="F55" s="280">
        <f>1.06*0.05*('RD Costs'!$B$43)*$F$9</f>
        <v>160366.0353322549</v>
      </c>
      <c r="G55" s="280">
        <f>1.06*0.05*('RD Costs'!$B$43)*$G$9</f>
        <v>109964.47844652826</v>
      </c>
      <c r="H55" s="281">
        <f>1.06*0.05*('RD Costs'!$B$43)*$H$9</f>
        <v>14838.038492145904</v>
      </c>
      <c r="I55" s="216"/>
    </row>
    <row r="56" spans="1:9" ht="18">
      <c r="A56" s="193"/>
      <c r="B56" s="200" t="s">
        <v>39</v>
      </c>
      <c r="C56" s="207"/>
      <c r="D56" s="280">
        <f>1.06*0.05*(CertTestCosts!$B$29)*$D$9</f>
        <v>11015.314165643798</v>
      </c>
      <c r="E56" s="280">
        <f>1.06*0.05*(CertTestCosts!$B$29)*$E$9</f>
        <v>32905.91731685966</v>
      </c>
      <c r="F56" s="280">
        <f>1.06*0.05*(CertTestCosts!$B$29)*$F$9</f>
        <v>106540.492010587</v>
      </c>
      <c r="G56" s="280">
        <f>1.06*0.05*(CertTestCosts!$B$29)*$G$9</f>
        <v>73055.80394943082</v>
      </c>
      <c r="H56" s="281">
        <f>1.06*0.05*(CertTestCosts!$B$29)*$H$9</f>
        <v>9857.772677050722</v>
      </c>
      <c r="I56" s="216"/>
    </row>
    <row r="57" spans="1:9" ht="18">
      <c r="A57" s="195"/>
      <c r="B57" s="201" t="s">
        <v>40</v>
      </c>
      <c r="C57" s="208"/>
      <c r="D57" s="280">
        <f>-1.06*D28*$C$74*(2000*365/$C$76)</f>
        <v>-214.16114564623877</v>
      </c>
      <c r="E57" s="280">
        <f>-1.06*E28*$C$74*(2000*365/$C$76)</f>
        <v>-1953.5110222600215</v>
      </c>
      <c r="F57" s="280">
        <f>-1.06*F28*$C$74*(2000*365/$C$76)</f>
        <v>-12649.884423860209</v>
      </c>
      <c r="G57" s="280">
        <f>-1.06*G28*$C$74*(2000*365/$C$76)</f>
        <v>-17348.286252717076</v>
      </c>
      <c r="H57" s="280">
        <f>-1.06*H28*$C$74*(2000*365/$C$76)</f>
        <v>-4681.776203135506</v>
      </c>
      <c r="I57" s="216"/>
    </row>
    <row r="58" spans="1:9" ht="18">
      <c r="A58" s="192">
        <v>5</v>
      </c>
      <c r="B58" s="199" t="s">
        <v>48</v>
      </c>
      <c r="C58" s="206"/>
      <c r="D58" s="279">
        <f>SUM(D59:D62)/(D$29*365*2000)</f>
        <v>2.9498636775239877</v>
      </c>
      <c r="E58" s="279">
        <f>SUM(E59:E62)/(E$29*365*2000)</f>
        <v>0.9470954934847199</v>
      </c>
      <c r="F58" s="279">
        <f>SUM(F59:F62)/(F$29*365*2000)</f>
        <v>0.6740125340278313</v>
      </c>
      <c r="G58" s="279">
        <f>SUM(G59:G62)/(G$29*365*2000)</f>
        <v>0.37414342256141336</v>
      </c>
      <c r="H58" s="217">
        <f>SUM(H59:H62)/(H$29*365*2000)</f>
        <v>0.22420886682820437</v>
      </c>
      <c r="I58" s="215">
        <f>(SUM(D59:D62)+SUM(E59:E62)+SUM(F59:F62)+SUM(G59:G62)+SUM(H59:H62))/(C$29*2000*365)</f>
        <v>0.503384797630029</v>
      </c>
    </row>
    <row r="59" spans="1:9" ht="18">
      <c r="A59" s="193"/>
      <c r="B59" s="200" t="s">
        <v>37</v>
      </c>
      <c r="C59" s="207"/>
      <c r="D59" s="280">
        <f>(0.88)*D10*'GDF 1'!$I$89</f>
        <v>25391.776824244687</v>
      </c>
      <c r="E59" s="280">
        <f>(0.88)*E10*'GDF 2'!$I$89</f>
        <v>98608.31974330623</v>
      </c>
      <c r="F59" s="280">
        <f>(0.88)*F10*'GDF 3'!$I$89</f>
        <v>638534.3280739593</v>
      </c>
      <c r="G59" s="280">
        <f>(0.88)*G10*'GDF 4'!$I$89</f>
        <v>656773.370477544</v>
      </c>
      <c r="H59" s="281">
        <f>(0.88)*H10*'GDF 5'!$I$89</f>
        <v>147702.67467933524</v>
      </c>
      <c r="I59" s="216"/>
    </row>
    <row r="60" spans="1:9" ht="18">
      <c r="A60" s="193"/>
      <c r="B60" s="200" t="s">
        <v>38</v>
      </c>
      <c r="C60" s="207"/>
      <c r="D60" s="280">
        <f>1.06*0.05*('RD Costs'!$B$43)*$D$9</f>
        <v>16580.383921147884</v>
      </c>
      <c r="E60" s="280">
        <f>1.06*0.05*('RD Costs'!$B$43)*$E$9</f>
        <v>49530.384171225676</v>
      </c>
      <c r="F60" s="280">
        <f>1.06*0.05*('RD Costs'!$B$43)*$F$9</f>
        <v>160366.0353322549</v>
      </c>
      <c r="G60" s="280">
        <f>1.06*0.05*('RD Costs'!$B$43)*$G$9</f>
        <v>109964.47844652826</v>
      </c>
      <c r="H60" s="281">
        <f>1.06*0.05*('RD Costs'!$B$43)*$H$9</f>
        <v>14838.038492145904</v>
      </c>
      <c r="I60" s="216"/>
    </row>
    <row r="61" spans="1:9" ht="18">
      <c r="A61" s="193"/>
      <c r="B61" s="200" t="s">
        <v>39</v>
      </c>
      <c r="C61" s="207"/>
      <c r="D61" s="280">
        <f>1.06*0.05*(CertTestCosts!$B$29)*$D$9</f>
        <v>11015.314165643798</v>
      </c>
      <c r="E61" s="280">
        <f>1.06*0.05*(CertTestCosts!$B$29)*$E$9</f>
        <v>32905.91731685966</v>
      </c>
      <c r="F61" s="280">
        <f>1.06*0.05*(CertTestCosts!$B$29)*$F$9</f>
        <v>106540.492010587</v>
      </c>
      <c r="G61" s="280">
        <f>1.06*0.05*(CertTestCosts!$B$29)*$G$9</f>
        <v>73055.80394943082</v>
      </c>
      <c r="H61" s="281">
        <f>1.06*0.05*(CertTestCosts!$B$29)*$H$9</f>
        <v>9857.772677050722</v>
      </c>
      <c r="I61" s="216"/>
    </row>
    <row r="62" spans="1:9" ht="18">
      <c r="A62" s="195"/>
      <c r="B62" s="201" t="s">
        <v>40</v>
      </c>
      <c r="C62" s="208"/>
      <c r="D62" s="280">
        <f>-1.06*D29*$C$74*(2000*365/$C$76)</f>
        <v>-4176.142340101656</v>
      </c>
      <c r="E62" s="280">
        <f>-1.06*E29*$C$74*(2000*365/$C$76)</f>
        <v>-38093.464934070405</v>
      </c>
      <c r="F62" s="280">
        <f>-1.06*F29*$C$74*(2000*365/$C$76)</f>
        <v>-246672.74626527404</v>
      </c>
      <c r="G62" s="280">
        <f>-1.06*G29*$C$74*(2000*365/$C$76)</f>
        <v>-338291.581927983</v>
      </c>
      <c r="H62" s="280">
        <f>-1.06*H29*$C$74*(2000*365/$C$76)</f>
        <v>-91294.63596114237</v>
      </c>
      <c r="I62" s="216"/>
    </row>
    <row r="63" spans="1:9" ht="18">
      <c r="A63" s="192">
        <v>6</v>
      </c>
      <c r="B63" s="199" t="s">
        <v>49</v>
      </c>
      <c r="C63" s="206"/>
      <c r="D63" s="357">
        <f>SUM(D64:D67)/(D$30*365*2000)</f>
        <v>0</v>
      </c>
      <c r="E63" s="279">
        <f>SUM(E64:E67)/(E$30*365*2000)</f>
        <v>11.455226859697039</v>
      </c>
      <c r="F63" s="279">
        <f>SUM(F64:F67)/(F$30*365*2000)</f>
        <v>7.035245211147765</v>
      </c>
      <c r="G63" s="279">
        <f>SUM(G64:G67)/(G$30*365*2000)</f>
        <v>4.110940967110549</v>
      </c>
      <c r="H63" s="217">
        <f>SUM(H64:H67)/(H$30*365*2000)</f>
        <v>2.292849284697086</v>
      </c>
      <c r="I63" s="215">
        <f>(SUM(D64:D67)+SUM(E64:E67)+SUM(F64:F67)+SUM(G64:G67)+SUM(H64:H67))/(C$30*2000*365)</f>
        <v>5.249330720158628</v>
      </c>
    </row>
    <row r="64" spans="1:9" ht="18">
      <c r="A64" s="196"/>
      <c r="B64" s="200" t="s">
        <v>37</v>
      </c>
      <c r="C64" s="207"/>
      <c r="D64" s="358">
        <v>0</v>
      </c>
      <c r="E64" s="280">
        <f>(0.94)*(0.88)*E10*'GDF 2'!$I$104</f>
        <v>3457830.1802165676</v>
      </c>
      <c r="F64" s="280">
        <f>(0.94)*(0.88)*F10*'GDF 3'!$I$104</f>
        <v>14234624.414806023</v>
      </c>
      <c r="G64" s="280">
        <f>(0.94)*(0.88)*G10*'GDF 4'!$I$103</f>
        <v>11841910.00240044</v>
      </c>
      <c r="H64" s="281">
        <f>(0.94)*(0.88)*H10*'GDF 5'!$I$104</f>
        <v>1878890.3974380791</v>
      </c>
      <c r="I64" s="216"/>
    </row>
    <row r="65" spans="1:9" ht="18">
      <c r="A65" s="196"/>
      <c r="B65" s="200" t="s">
        <v>50</v>
      </c>
      <c r="C65" s="207"/>
      <c r="D65" s="358">
        <v>0</v>
      </c>
      <c r="E65" s="280">
        <f>0.25*('RD Costs'!$B$43)*$E$9</f>
        <v>233633.8876001211</v>
      </c>
      <c r="F65" s="280">
        <f>0.25*('RD Costs'!$B$43)*$F$9</f>
        <v>756443.5628879946</v>
      </c>
      <c r="G65" s="280">
        <f>0.25*('RD Costs'!$B$43)*$G$9</f>
        <v>518700.3700307936</v>
      </c>
      <c r="H65" s="281">
        <f>0.25*('RD Costs'!$B$43)*$H$9</f>
        <v>69990.74760446181</v>
      </c>
      <c r="I65" s="216"/>
    </row>
    <row r="66" spans="1:9" ht="18">
      <c r="A66" s="196"/>
      <c r="B66" s="200" t="s">
        <v>51</v>
      </c>
      <c r="C66" s="207"/>
      <c r="D66" s="358">
        <v>0</v>
      </c>
      <c r="E66" s="280">
        <f>0.25*(CertTestCosts!$B$29)*$E$9</f>
        <v>155216.59111726252</v>
      </c>
      <c r="F66" s="280">
        <f>0.25*(CertTestCosts!$B$29)*$F$9</f>
        <v>502549.49061597633</v>
      </c>
      <c r="G66" s="280">
        <f>0.25*(CertTestCosts!$B$29)*$G$9</f>
        <v>344602.8488180699</v>
      </c>
      <c r="H66" s="281">
        <f>0.25*(CertTestCosts!$B$29)*$H$9</f>
        <v>46498.92772193737</v>
      </c>
      <c r="I66" s="216"/>
    </row>
    <row r="67" spans="1:9" ht="18">
      <c r="A67" s="194"/>
      <c r="B67" s="201" t="s">
        <v>40</v>
      </c>
      <c r="C67" s="208"/>
      <c r="D67" s="359">
        <v>0</v>
      </c>
      <c r="E67" s="282">
        <f>-E30*$C$74*(2000*365/$C$76)</f>
        <v>-78324.73438306688</v>
      </c>
      <c r="F67" s="282">
        <f>-F30*$C$74*(2000*365/$C$76)</f>
        <v>-507188.762277414</v>
      </c>
      <c r="G67" s="282">
        <f>-G30*$C$74*(2000*365/$C$76)</f>
        <v>-695568.0808872412</v>
      </c>
      <c r="H67" s="282">
        <f>-H30*$C$74*(2000*365/$C$76)</f>
        <v>-187712.72512571598</v>
      </c>
      <c r="I67" s="218"/>
    </row>
    <row r="68" spans="1:9" ht="18">
      <c r="A68" s="197"/>
      <c r="B68" s="202" t="s">
        <v>52</v>
      </c>
      <c r="C68" s="209"/>
      <c r="D68" s="283">
        <f>SUM(D39:D42,D44:D47,D49:D52,D54:D57,D59:D62,D64:D67)</f>
        <v>2220595.218717498</v>
      </c>
      <c r="E68" s="283">
        <f>SUM(E39:E42,E44:E47,E49:E52,E54:E57,E59:E62,E64:E67)</f>
        <v>10705784.940091481</v>
      </c>
      <c r="F68" s="283">
        <f>SUM(F39:F42,F44:F47,F49:F52,F54:F57,F59:F62,F64:F67)</f>
        <v>42501285.212767504</v>
      </c>
      <c r="G68" s="283">
        <f>SUM(G39:G42,G44:G47,G49:G52,G54:G57,G59:G62,G64:G67)</f>
        <v>37606302.08893963</v>
      </c>
      <c r="H68" s="283">
        <f>SUM(H39:H42,H44:H47,H49:H52,H54:H57,H59:H62,H64:H67)</f>
        <v>5196568.110466962</v>
      </c>
      <c r="I68" s="219">
        <f>SUM(D68:H68)</f>
        <v>98230535.57098308</v>
      </c>
    </row>
    <row r="69" spans="1:9" ht="18.75">
      <c r="A69" s="197"/>
      <c r="B69" s="203" t="s">
        <v>53</v>
      </c>
      <c r="C69" s="210"/>
      <c r="D69" s="284">
        <f>D68/D10</f>
        <v>4181.911899656306</v>
      </c>
      <c r="E69" s="284">
        <f>E68/E10</f>
        <v>6749.11580147611</v>
      </c>
      <c r="F69" s="284">
        <f>F68/F10</f>
        <v>8275.414043005056</v>
      </c>
      <c r="G69" s="284">
        <f>G68/G10</f>
        <v>10678.451341380478</v>
      </c>
      <c r="H69" s="284">
        <f>H68/H10</f>
        <v>10935.538953002866</v>
      </c>
      <c r="I69" s="220" t="s">
        <v>54</v>
      </c>
    </row>
    <row r="70" spans="1:9" ht="18">
      <c r="A70" s="197"/>
      <c r="B70" s="203" t="s">
        <v>55</v>
      </c>
      <c r="C70" s="211"/>
      <c r="D70" s="213">
        <f>D68*100/(D11*1000000)</f>
        <v>2.633501996794984</v>
      </c>
      <c r="E70" s="213">
        <f>E68*100/(E11*1000000)</f>
        <v>1.3918985486674578</v>
      </c>
      <c r="F70" s="213">
        <f>F68*100/(F11*1000000)</f>
        <v>0.85333672846166</v>
      </c>
      <c r="G70" s="213">
        <f>G68*100/(G11*1000000)</f>
        <v>0.5505654874388425</v>
      </c>
      <c r="H70" s="213">
        <f>H68*100/(H11*1000000)</f>
        <v>0.28191027619966336</v>
      </c>
      <c r="I70" s="221">
        <f>I68*100/G17</f>
        <v>0.6767782249701592</v>
      </c>
    </row>
    <row r="71" spans="1:9" ht="18.75">
      <c r="A71" s="197"/>
      <c r="B71" s="203" t="s">
        <v>56</v>
      </c>
      <c r="C71" s="211"/>
      <c r="D71" s="360">
        <f>SUM(D39:D42,D44:D47,D49:D52,D54:D57,D59:D62,D64:D67)/(D31*365*2000)</f>
        <v>30.428938267309874</v>
      </c>
      <c r="E71" s="337">
        <f>SUM(E39:E42,E44:E47,E49:E52,E54:E57,E59:E62,E64:E67)/(E31*365*2000)</f>
        <v>10.763563967616907</v>
      </c>
      <c r="F71" s="337">
        <f>SUM(F39:F42,F44:F47,F49:F52,F54:F57,F59:F62,F64:F67)/(F31*365*2000)</f>
        <v>6.598860578960497</v>
      </c>
      <c r="G71" s="337">
        <f>SUM(G39:G42,G44:G47,G49:G52,G54:G57,G59:G62,G64:G67)/(G31*365*2000)</f>
        <v>4.257527855089366</v>
      </c>
      <c r="H71" s="337">
        <f>SUM(H39:H42,H44:H47,H49:H52,H54:H57,H59:H62,H64:H67)/(H31*365*2000)</f>
        <v>2.1800146956892714</v>
      </c>
      <c r="I71" s="222" t="s">
        <v>57</v>
      </c>
    </row>
    <row r="72" spans="1:9" ht="18.75">
      <c r="A72" s="147"/>
      <c r="B72" s="338"/>
      <c r="C72" s="341"/>
      <c r="D72" s="339"/>
      <c r="E72" s="339"/>
      <c r="F72" s="339"/>
      <c r="G72" s="339"/>
      <c r="H72" s="339"/>
      <c r="I72" s="340"/>
    </row>
    <row r="73" spans="1:9" ht="18.75">
      <c r="A73" s="78"/>
      <c r="B73" s="78" t="s">
        <v>58</v>
      </c>
      <c r="C73" s="78"/>
      <c r="D73" s="78"/>
      <c r="E73" s="78"/>
      <c r="F73" s="78"/>
      <c r="G73" s="78"/>
      <c r="H73" s="78"/>
      <c r="I73" s="223" t="s">
        <v>59</v>
      </c>
    </row>
    <row r="74" spans="1:9" ht="18">
      <c r="A74" s="78"/>
      <c r="B74" s="78" t="s">
        <v>60</v>
      </c>
      <c r="C74" s="212">
        <v>1.5</v>
      </c>
      <c r="D74" s="78"/>
      <c r="E74" s="78"/>
      <c r="F74" s="78"/>
      <c r="G74" s="78"/>
      <c r="H74" s="78"/>
      <c r="I74" s="78"/>
    </row>
    <row r="75" spans="1:9" ht="18">
      <c r="A75" s="78"/>
      <c r="B75" s="78" t="s">
        <v>61</v>
      </c>
      <c r="C75" s="78"/>
      <c r="D75" s="78"/>
      <c r="E75" s="78"/>
      <c r="F75" s="78"/>
      <c r="G75" s="78"/>
      <c r="H75" s="78"/>
      <c r="I75" s="78"/>
    </row>
    <row r="76" spans="1:9" ht="18">
      <c r="A76" s="78"/>
      <c r="B76" s="78" t="s">
        <v>62</v>
      </c>
      <c r="C76" s="146">
        <v>6.3</v>
      </c>
      <c r="D76" s="78"/>
      <c r="E76" s="78"/>
      <c r="F76" s="78"/>
      <c r="G76" s="78"/>
      <c r="H76" s="78"/>
      <c r="I76" s="78"/>
    </row>
    <row r="77" ht="15">
      <c r="A77" s="93"/>
    </row>
    <row r="78" spans="1:9" ht="20.25">
      <c r="A78" s="120"/>
      <c r="C78" s="330" t="s">
        <v>350</v>
      </c>
      <c r="D78" s="331" t="s">
        <v>354</v>
      </c>
      <c r="E78" s="332"/>
      <c r="F78" s="329"/>
      <c r="G78" s="329"/>
      <c r="H78" s="120"/>
      <c r="I78" s="120"/>
    </row>
    <row r="79" spans="1:5" ht="20.25">
      <c r="A79" s="93"/>
      <c r="C79" s="333"/>
      <c r="D79" s="333" t="s">
        <v>351</v>
      </c>
      <c r="E79" s="333"/>
    </row>
    <row r="80" spans="1:5" ht="20.25">
      <c r="A80" s="93"/>
      <c r="C80" s="334"/>
      <c r="D80" s="334"/>
      <c r="E80" s="334"/>
    </row>
    <row r="81" spans="1:5" ht="20.25">
      <c r="A81" s="93"/>
      <c r="C81" s="335" t="s">
        <v>353</v>
      </c>
      <c r="D81" s="336">
        <f>+I68/C31/2000/365</f>
        <v>5.235890174883166</v>
      </c>
      <c r="E81" s="333" t="s">
        <v>352</v>
      </c>
    </row>
    <row r="82" ht="15">
      <c r="A82" s="93"/>
    </row>
    <row r="83" ht="15">
      <c r="A83" s="93"/>
    </row>
  </sheetData>
  <printOptions/>
  <pageMargins left="0.75" right="0.75" top="1" bottom="1" header="0.5" footer="0.5"/>
  <pageSetup fitToHeight="1" fitToWidth="1" horizontalDpi="600" verticalDpi="600" orientation="portrait" scale="44" r:id="rId1"/>
  <headerFooter alignWithMargins="0">
    <oddHeader>&amp;L&amp;12EVR Technology Review&amp;R&amp;12Appendix 4</oddHeader>
    <oddFooter>&amp;R&amp;12Page 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0.421875" style="78" customWidth="1"/>
    <col min="2" max="2" width="26.7109375" style="78" customWidth="1"/>
    <col min="3" max="3" width="14.28125" style="78" customWidth="1"/>
    <col min="4" max="5" width="13.8515625" style="78" customWidth="1"/>
    <col min="6" max="6" width="15.140625" style="78" customWidth="1"/>
    <col min="7" max="7" width="13.28125" style="78" customWidth="1"/>
    <col min="8" max="16384" width="8.421875" style="78" customWidth="1"/>
  </cols>
  <sheetData>
    <row r="1" spans="2:7" ht="18">
      <c r="B1" s="50"/>
      <c r="C1" s="23" t="s">
        <v>63</v>
      </c>
      <c r="D1" s="23"/>
      <c r="E1" s="23"/>
      <c r="F1" s="23"/>
      <c r="G1" s="23"/>
    </row>
    <row r="2" spans="1:7" ht="18">
      <c r="A2" s="141"/>
      <c r="B2" s="50"/>
      <c r="C2" s="177" t="s">
        <v>64</v>
      </c>
      <c r="D2" s="182"/>
      <c r="E2" s="182"/>
      <c r="F2" s="182"/>
      <c r="G2" s="185"/>
    </row>
    <row r="3" spans="1:7" ht="18">
      <c r="A3" s="141"/>
      <c r="C3" s="178" t="s">
        <v>65</v>
      </c>
      <c r="D3" s="50"/>
      <c r="E3" s="50"/>
      <c r="F3" s="50"/>
      <c r="G3" s="186"/>
    </row>
    <row r="4" spans="2:7" ht="18">
      <c r="B4" s="156" t="s">
        <v>66</v>
      </c>
      <c r="C4" s="148">
        <v>1</v>
      </c>
      <c r="D4" s="148">
        <v>2</v>
      </c>
      <c r="E4" s="148">
        <v>3</v>
      </c>
      <c r="F4" s="148">
        <v>4</v>
      </c>
      <c r="G4" s="148">
        <v>5</v>
      </c>
    </row>
    <row r="5" spans="1:7" ht="18">
      <c r="A5" s="224" t="s">
        <v>20</v>
      </c>
      <c r="B5" s="226" t="s">
        <v>67</v>
      </c>
      <c r="C5" s="228">
        <f>Sum!D$8</f>
        <v>13233.050847457625</v>
      </c>
      <c r="D5" s="228">
        <f>Sum!E$8</f>
        <v>37500</v>
      </c>
      <c r="E5" s="228">
        <f>Sum!F$8</f>
        <v>75000</v>
      </c>
      <c r="F5" s="228">
        <f>Sum!G$8</f>
        <v>150000</v>
      </c>
      <c r="G5" s="228">
        <f>Sum!H$8</f>
        <v>300000</v>
      </c>
    </row>
    <row r="6" spans="1:7" ht="18">
      <c r="A6" s="149">
        <v>1</v>
      </c>
      <c r="B6" s="157" t="s">
        <v>23</v>
      </c>
      <c r="C6" s="179">
        <f>100*(SUM(Sum!D39:D42))/(1000000*Sum!D$11)</f>
        <v>0.7039934415901521</v>
      </c>
      <c r="D6" s="179">
        <f>100*(SUM(Sum!E39:E42))/(1000000*Sum!E$11)</f>
        <v>0.22585572469862925</v>
      </c>
      <c r="E6" s="179">
        <f>100*(SUM(Sum!F39:F42))/(1000000*Sum!F$11)</f>
        <v>0.10943559381284594</v>
      </c>
      <c r="F6" s="179">
        <f>100*(SUM(Sum!G39:G42))/(1000000*Sum!G$11)</f>
        <v>0.10480049934666846</v>
      </c>
      <c r="G6" s="187">
        <f>100*(SUM(Sum!H39:H42))/(1000000*Sum!H$11)</f>
        <v>0.022440012978222738</v>
      </c>
    </row>
    <row r="7" spans="1:7" ht="18">
      <c r="A7" s="150">
        <v>2</v>
      </c>
      <c r="B7" s="158" t="s">
        <v>24</v>
      </c>
      <c r="C7" s="179">
        <f>100*(SUM(Sum!D44:D47))/(1000000*Sum!D$11)</f>
        <v>1.652388918822674</v>
      </c>
      <c r="D7" s="179">
        <f>100*(SUM(Sum!E44:E47))/(1000000*Sum!E$11)</f>
        <v>0.5740360659657695</v>
      </c>
      <c r="E7" s="179">
        <f>100*(SUM(Sum!F44:F47))/(1000000*Sum!F$11)</f>
        <v>0.36204836321505285</v>
      </c>
      <c r="F7" s="179">
        <f>100*(SUM(Sum!G44:G47))/(1000000*Sum!G$11)</f>
        <v>0.21755516195424196</v>
      </c>
      <c r="G7" s="187">
        <f>100*(SUM(Sum!H44:H47))/(1000000*Sum!H$11)</f>
        <v>0.12616317912110098</v>
      </c>
    </row>
    <row r="8" spans="1:7" ht="18">
      <c r="A8" s="150">
        <v>3</v>
      </c>
      <c r="B8" s="158" t="s">
        <v>25</v>
      </c>
      <c r="C8" s="179">
        <f>100*(SUM(Sum!D49:D52))/(1000000*Sum!D$11)</f>
        <v>0.1566459153205896</v>
      </c>
      <c r="D8" s="179">
        <f>100*(SUM(Sum!E49:E52))/(1000000*Sum!E$11)</f>
        <v>0.06019901691125514</v>
      </c>
      <c r="E8" s="179">
        <f>100*(SUM(Sum!F49:F52))/(1000000*Sum!F$11)</f>
        <v>0.04980463872092288</v>
      </c>
      <c r="F8" s="179">
        <f>100*(SUM(Sum!G49:G52))/(1000000*Sum!G$11)</f>
        <v>0.03300276005585851</v>
      </c>
      <c r="G8" s="187">
        <f>100*(SUM(Sum!H49:H52))/(1000000*Sum!H$11)</f>
        <v>0.021744017555657524</v>
      </c>
    </row>
    <row r="9" spans="1:7" ht="18">
      <c r="A9" s="150">
        <v>4</v>
      </c>
      <c r="B9" s="158" t="s">
        <v>26</v>
      </c>
      <c r="C9" s="179">
        <f>100*(SUM(Sum!D54:D57))/(1000000*Sum!D$11)</f>
        <v>0.06258620481895392</v>
      </c>
      <c r="D9" s="179">
        <f>100*(SUM(Sum!E54:E57))/(1000000*Sum!E$11)</f>
        <v>0.02328429515203804</v>
      </c>
      <c r="E9" s="179">
        <f>100*(SUM(Sum!F54:F57))/(1000000*Sum!F$11)</f>
        <v>0.017925371493433397</v>
      </c>
      <c r="F9" s="179">
        <f>100*(SUM(Sum!G54:G57))/(1000000*Sum!G$11)</f>
        <v>0.01204080191385173</v>
      </c>
      <c r="G9" s="187">
        <f>100*(SUM(Sum!H54:H57))/(1000000*Sum!H$11)</f>
        <v>0.009098517124060899</v>
      </c>
    </row>
    <row r="10" spans="1:7" ht="18">
      <c r="A10" s="150">
        <v>5</v>
      </c>
      <c r="B10" s="158" t="s">
        <v>27</v>
      </c>
      <c r="C10" s="179">
        <f>100*(SUM(Sum!D59:D62))/(1000000*Sum!D$11)</f>
        <v>0.057887516242614206</v>
      </c>
      <c r="D10" s="179">
        <f>100*(SUM(Sum!E59:E62))/(1000000*Sum!E$11)</f>
        <v>0.018585606575698313</v>
      </c>
      <c r="E10" s="179">
        <f>100*(SUM(Sum!F59:F62))/(1000000*Sum!F$11)</f>
        <v>0.013226682917093674</v>
      </c>
      <c r="F10" s="179">
        <f>100*(SUM(Sum!G59:G62))/(1000000*Sum!G$11)</f>
        <v>0.007342113337512005</v>
      </c>
      <c r="G10" s="187">
        <f>100*(SUM(Sum!H59:H62))/(1000000*Sum!H$11)</f>
        <v>0.004399828547721173</v>
      </c>
    </row>
    <row r="11" spans="1:7" ht="18">
      <c r="A11" s="150">
        <v>6</v>
      </c>
      <c r="B11" s="158" t="s">
        <v>28</v>
      </c>
      <c r="C11" s="179">
        <f>100*(SUM(Sum!D64:D67))/(1000000*Sum!D$11)</f>
        <v>0</v>
      </c>
      <c r="D11" s="179">
        <f>100*(SUM(Sum!E64:E67))/(1000000*Sum!E$11)</f>
        <v>0.4899378393640674</v>
      </c>
      <c r="E11" s="179">
        <f>100*(SUM(Sum!F64:F67))/(1000000*Sum!F$11)</f>
        <v>0.3008960783023112</v>
      </c>
      <c r="F11" s="179">
        <f>100*(SUM(Sum!G64:G67))/(1000000*Sum!G$11)</f>
        <v>0.17582415083070999</v>
      </c>
      <c r="G11" s="187">
        <f>100*(SUM(Sum!H64:H67))/(1000000*Sum!H$11)</f>
        <v>0.09806472087290007</v>
      </c>
    </row>
    <row r="12" spans="1:7" ht="18">
      <c r="A12" s="225" t="s">
        <v>68</v>
      </c>
      <c r="B12" s="227"/>
      <c r="C12" s="180">
        <f>SUM(C6:C11)</f>
        <v>2.6335019967949833</v>
      </c>
      <c r="D12" s="180">
        <f>SUM(D6:D11)</f>
        <v>1.3918985486674575</v>
      </c>
      <c r="E12" s="180">
        <f>SUM(E6:E11)</f>
        <v>0.85333672846166</v>
      </c>
      <c r="F12" s="180">
        <f>SUM(F6:F11)</f>
        <v>0.5505654874388426</v>
      </c>
      <c r="G12" s="180">
        <f>SUM(G6:G11)</f>
        <v>0.28191027619966336</v>
      </c>
    </row>
    <row r="13" ht="18">
      <c r="A13" s="141"/>
    </row>
  </sheetData>
  <printOptions/>
  <pageMargins left="0.75" right="0.75" top="1" bottom="1" header="0.5" footer="0.5"/>
  <pageSetup fitToHeight="1" fitToWidth="1" horizontalDpi="600" verticalDpi="600" orientation="portrait" scale="78" r:id="rId2"/>
  <headerFooter alignWithMargins="0">
    <oddHeader>&amp;LEVR Technology Review&amp;RAppendix 4</oddHeader>
    <oddFooter>&amp;RPage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90" zoomScaleNormal="90" workbookViewId="0" topLeftCell="A1">
      <selection activeCell="D3" sqref="D3"/>
    </sheetView>
  </sheetViews>
  <sheetFormatPr defaultColWidth="9.140625" defaultRowHeight="12.75"/>
  <cols>
    <col min="1" max="1" width="10.421875" style="78" customWidth="1"/>
    <col min="2" max="2" width="47.8515625" style="78" customWidth="1"/>
    <col min="3" max="3" width="23.7109375" style="79" customWidth="1"/>
    <col min="4" max="4" width="15.421875" style="78" customWidth="1"/>
    <col min="5" max="16384" width="8.421875" style="78" customWidth="1"/>
  </cols>
  <sheetData>
    <row r="1" spans="1:4" ht="18">
      <c r="A1" s="122" t="s">
        <v>69</v>
      </c>
      <c r="B1" s="129"/>
      <c r="C1" s="134"/>
      <c r="D1" s="122"/>
    </row>
    <row r="2" spans="1:4" ht="18">
      <c r="A2" s="123" t="s">
        <v>20</v>
      </c>
      <c r="B2" s="130" t="s">
        <v>21</v>
      </c>
      <c r="C2" s="123" t="s">
        <v>70</v>
      </c>
      <c r="D2" s="138" t="s">
        <v>71</v>
      </c>
    </row>
    <row r="3" spans="1:4" ht="18">
      <c r="A3" s="124">
        <v>1</v>
      </c>
      <c r="B3" s="131" t="s">
        <v>23</v>
      </c>
      <c r="C3" s="135">
        <f>SUM(Sum!D39:H42)/1000000</f>
        <v>15.353361961116686</v>
      </c>
      <c r="D3" s="139">
        <f>C3*100*1000000/(Sum!$G$17)</f>
        <v>0.10577994912651499</v>
      </c>
    </row>
    <row r="4" spans="1:4" ht="18">
      <c r="A4" s="125">
        <v>2</v>
      </c>
      <c r="B4" s="132" t="s">
        <v>24</v>
      </c>
      <c r="C4" s="135">
        <f>SUM(Sum!D44:H47)/1000000</f>
        <v>41.02638132986819</v>
      </c>
      <c r="D4" s="139">
        <f>C4*100*1000000/(Sum!$G$17)</f>
        <v>0.28265916878070013</v>
      </c>
    </row>
    <row r="5" spans="1:4" ht="18">
      <c r="A5" s="125">
        <v>3</v>
      </c>
      <c r="B5" s="132" t="s">
        <v>72</v>
      </c>
      <c r="C5" s="135">
        <f>SUM(Sum!D49:H52)/1000000</f>
        <v>5.730741171327575</v>
      </c>
      <c r="D5" s="139">
        <f>C5*100*1000000/(Sum!$G$17)</f>
        <v>0.039483046846383714</v>
      </c>
    </row>
    <row r="6" spans="1:4" ht="18">
      <c r="A6" s="125">
        <v>4</v>
      </c>
      <c r="B6" s="132" t="s">
        <v>73</v>
      </c>
      <c r="C6" s="135">
        <f>SUM(Sum!D54:H57)/1000000</f>
        <v>2.114817471233645</v>
      </c>
      <c r="D6" s="139">
        <f>C6*100*1000000/(Sum!$G$17)</f>
        <v>0.014570442948294137</v>
      </c>
    </row>
    <row r="7" spans="1:4" ht="18">
      <c r="A7" s="125">
        <v>5</v>
      </c>
      <c r="B7" s="132" t="s">
        <v>74</v>
      </c>
      <c r="C7" s="135">
        <f>SUM(Sum!D59:H62)/1000000</f>
        <v>1.433136518852692</v>
      </c>
      <c r="D7" s="139">
        <f>C7*100*1000000/(Sum!$G$17)</f>
        <v>0.009873870520314534</v>
      </c>
    </row>
    <row r="8" spans="1:4" ht="18">
      <c r="A8" s="125">
        <v>6</v>
      </c>
      <c r="B8" s="132" t="s">
        <v>75</v>
      </c>
      <c r="C8" s="135">
        <f>SUM(Sum!D64:H67)/1000000</f>
        <v>32.572097118584296</v>
      </c>
      <c r="D8" s="139">
        <f>C8*100*1000000/(Sum!$G$17)</f>
        <v>0.2244117467479517</v>
      </c>
    </row>
    <row r="9" spans="1:4" ht="18">
      <c r="A9" s="126"/>
      <c r="B9" s="133" t="s">
        <v>76</v>
      </c>
      <c r="C9" s="136">
        <f>SUM(C3:C8)</f>
        <v>98.23053557098308</v>
      </c>
      <c r="D9" s="140">
        <f>SUM(D3:D8)</f>
        <v>0.6767782249701592</v>
      </c>
    </row>
    <row r="10" spans="1:4" ht="18">
      <c r="A10" s="127"/>
      <c r="B10" s="128"/>
      <c r="C10" s="137"/>
      <c r="D10" s="128"/>
    </row>
    <row r="11" spans="1:4" ht="18">
      <c r="A11" s="128"/>
      <c r="B11" s="128"/>
      <c r="C11" s="137"/>
      <c r="D11" s="128"/>
    </row>
    <row r="12" spans="1:4" ht="18">
      <c r="A12" s="128"/>
      <c r="B12" s="128"/>
      <c r="C12" s="137"/>
      <c r="D12" s="128"/>
    </row>
    <row r="13" spans="1:4" ht="18">
      <c r="A13" s="128"/>
      <c r="B13" s="128"/>
      <c r="C13" s="137"/>
      <c r="D13" s="128"/>
    </row>
    <row r="14" spans="1:4" ht="18">
      <c r="A14" s="128"/>
      <c r="B14" s="128"/>
      <c r="C14" s="137"/>
      <c r="D14" s="128"/>
    </row>
    <row r="15" spans="1:4" ht="18">
      <c r="A15" s="128"/>
      <c r="B15" s="128"/>
      <c r="C15" s="137"/>
      <c r="D15" s="128"/>
    </row>
    <row r="16" spans="1:4" ht="18">
      <c r="A16" s="128"/>
      <c r="B16" s="128"/>
      <c r="C16" s="137"/>
      <c r="D16" s="128"/>
    </row>
    <row r="17" spans="1:4" ht="18">
      <c r="A17" s="128"/>
      <c r="B17" s="128"/>
      <c r="C17" s="137"/>
      <c r="D17" s="128"/>
    </row>
    <row r="18" spans="1:4" ht="18">
      <c r="A18" s="128"/>
      <c r="B18" s="128"/>
      <c r="C18" s="137"/>
      <c r="D18" s="128"/>
    </row>
    <row r="19" spans="1:4" ht="18">
      <c r="A19" s="128"/>
      <c r="B19" s="128"/>
      <c r="C19" s="137"/>
      <c r="D19" s="128"/>
    </row>
    <row r="20" spans="1:4" ht="18">
      <c r="A20" s="128"/>
      <c r="B20" s="128"/>
      <c r="C20" s="137"/>
      <c r="D20" s="128"/>
    </row>
    <row r="21" spans="1:4" ht="18">
      <c r="A21" s="128"/>
      <c r="B21" s="128"/>
      <c r="C21" s="137"/>
      <c r="D21" s="128"/>
    </row>
    <row r="22" spans="1:4" ht="18">
      <c r="A22" s="128"/>
      <c r="B22" s="128"/>
      <c r="C22" s="137"/>
      <c r="D22" s="128"/>
    </row>
    <row r="23" spans="1:4" ht="18">
      <c r="A23" s="128"/>
      <c r="B23" s="128"/>
      <c r="C23" s="137"/>
      <c r="D23" s="128"/>
    </row>
    <row r="24" spans="1:4" ht="18">
      <c r="A24" s="128"/>
      <c r="B24" s="128"/>
      <c r="C24" s="137"/>
      <c r="D24" s="128"/>
    </row>
    <row r="25" spans="1:4" ht="18">
      <c r="A25" s="128"/>
      <c r="B25" s="128"/>
      <c r="C25" s="137"/>
      <c r="D25" s="128"/>
    </row>
    <row r="26" spans="1:4" ht="18">
      <c r="A26" s="128"/>
      <c r="B26" s="128"/>
      <c r="C26" s="137"/>
      <c r="D26" s="128"/>
    </row>
    <row r="27" spans="1:4" ht="18">
      <c r="A27" s="128"/>
      <c r="B27" s="128"/>
      <c r="C27" s="137"/>
      <c r="D27" s="128"/>
    </row>
    <row r="28" spans="1:4" ht="18">
      <c r="A28" s="128"/>
      <c r="B28" s="128"/>
      <c r="C28" s="137"/>
      <c r="D28" s="128"/>
    </row>
    <row r="29" spans="1:4" ht="18">
      <c r="A29" s="128"/>
      <c r="B29" s="128"/>
      <c r="C29" s="137"/>
      <c r="D29" s="128"/>
    </row>
    <row r="30" spans="1:4" ht="18">
      <c r="A30" s="128"/>
      <c r="B30" s="128"/>
      <c r="C30" s="137"/>
      <c r="D30" s="128"/>
    </row>
    <row r="31" spans="1:4" ht="18">
      <c r="A31" s="128"/>
      <c r="B31" s="128"/>
      <c r="C31" s="137"/>
      <c r="D31" s="128"/>
    </row>
    <row r="32" spans="1:4" ht="18">
      <c r="A32" s="128"/>
      <c r="B32" s="128"/>
      <c r="C32" s="137"/>
      <c r="D32" s="128"/>
    </row>
    <row r="33" spans="1:4" ht="18">
      <c r="A33" s="128"/>
      <c r="B33" s="128"/>
      <c r="C33" s="137"/>
      <c r="D33" s="128"/>
    </row>
    <row r="34" spans="1:4" ht="18">
      <c r="A34" s="128"/>
      <c r="B34" s="128"/>
      <c r="C34" s="137"/>
      <c r="D34" s="128"/>
    </row>
    <row r="35" spans="1:4" ht="18">
      <c r="A35" s="128"/>
      <c r="B35" s="128"/>
      <c r="C35" s="137"/>
      <c r="D35" s="128"/>
    </row>
    <row r="36" spans="1:4" ht="18">
      <c r="A36" s="128"/>
      <c r="B36" s="128"/>
      <c r="C36" s="137"/>
      <c r="D36" s="128"/>
    </row>
    <row r="37" spans="1:4" ht="18">
      <c r="A37" s="128"/>
      <c r="B37" s="128"/>
      <c r="C37" s="137"/>
      <c r="D37" s="128"/>
    </row>
    <row r="38" spans="1:4" ht="18">
      <c r="A38" s="128"/>
      <c r="B38" s="128"/>
      <c r="C38" s="137"/>
      <c r="D38" s="128"/>
    </row>
    <row r="39" spans="1:4" ht="18">
      <c r="A39" s="128"/>
      <c r="B39" s="128"/>
      <c r="C39" s="137"/>
      <c r="D39" s="128"/>
    </row>
    <row r="40" spans="1:4" ht="18">
      <c r="A40" s="128"/>
      <c r="B40" s="128"/>
      <c r="C40" s="137"/>
      <c r="D40" s="128"/>
    </row>
    <row r="41" spans="1:4" ht="18">
      <c r="A41" s="128"/>
      <c r="B41" s="128"/>
      <c r="C41" s="137"/>
      <c r="D41" s="128"/>
    </row>
  </sheetData>
  <printOptions/>
  <pageMargins left="0.75" right="0.75" top="1" bottom="1" header="0.5" footer="0.5"/>
  <pageSetup fitToHeight="1" fitToWidth="1" horizontalDpi="600" verticalDpi="600" orientation="portrait" scale="93" r:id="rId2"/>
  <headerFooter alignWithMargins="0">
    <oddHeader>&amp;LEVR Technology Review&amp;RAppendix 4</oddHeader>
    <oddFooter>&amp;RPage 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4"/>
  <sheetViews>
    <sheetView view="pageBreakPreview" zoomScale="75" zoomScaleNormal="75" zoomScaleSheetLayoutView="75" workbookViewId="0" topLeftCell="A104">
      <selection activeCell="E94" sqref="E94"/>
    </sheetView>
  </sheetViews>
  <sheetFormatPr defaultColWidth="9.140625" defaultRowHeight="12.75"/>
  <cols>
    <col min="1" max="1" width="9.8515625" style="97" customWidth="1"/>
    <col min="2" max="2" width="37.28125" style="98" customWidth="1"/>
    <col min="3" max="3" width="10.7109375" style="99" customWidth="1"/>
    <col min="4" max="4" width="10.57421875" style="100" customWidth="1"/>
    <col min="5" max="5" width="16.28125" style="98" customWidth="1"/>
    <col min="6" max="6" width="13.00390625" style="98" customWidth="1"/>
    <col min="7" max="7" width="12.28125" style="98" customWidth="1"/>
    <col min="8" max="8" width="12.140625" style="98" customWidth="1"/>
    <col min="9" max="9" width="12.8515625" style="98" customWidth="1"/>
    <col min="10" max="16384" width="9.8515625" style="97" customWidth="1"/>
  </cols>
  <sheetData>
    <row r="2" spans="1:9" ht="18">
      <c r="A2" s="94" t="s">
        <v>77</v>
      </c>
      <c r="B2" s="94"/>
      <c r="C2" s="94"/>
      <c r="D2" s="95"/>
      <c r="E2" s="96"/>
      <c r="F2" s="96"/>
      <c r="G2" s="96"/>
      <c r="H2" s="96"/>
      <c r="I2" s="96"/>
    </row>
    <row r="4" spans="1:9" ht="18">
      <c r="A4" s="97" t="s">
        <v>260</v>
      </c>
      <c r="C4" s="99" t="s">
        <v>78</v>
      </c>
      <c r="E4" s="101" t="s">
        <v>79</v>
      </c>
      <c r="F4" s="101"/>
      <c r="G4" s="101"/>
      <c r="H4" s="101"/>
      <c r="I4" s="101"/>
    </row>
    <row r="5" spans="1:9" ht="18.75" thickBot="1">
      <c r="A5" s="102" t="s">
        <v>80</v>
      </c>
      <c r="B5" s="103"/>
      <c r="C5" s="104" t="s">
        <v>81</v>
      </c>
      <c r="D5" s="104"/>
      <c r="E5" s="103" t="s">
        <v>82</v>
      </c>
      <c r="F5" s="103" t="s">
        <v>83</v>
      </c>
      <c r="G5" s="103" t="s">
        <v>84</v>
      </c>
      <c r="H5" s="103" t="s">
        <v>85</v>
      </c>
      <c r="I5" s="103" t="s">
        <v>86</v>
      </c>
    </row>
    <row r="6" spans="1:4" ht="19.5" thickTop="1">
      <c r="A6" s="105" t="s">
        <v>87</v>
      </c>
      <c r="D6" s="342" t="s">
        <v>374</v>
      </c>
    </row>
    <row r="7" spans="1:9" ht="18">
      <c r="A7" s="106" t="s">
        <v>88</v>
      </c>
      <c r="B7" s="107"/>
      <c r="C7" s="108"/>
      <c r="D7" s="343"/>
      <c r="E7" s="107"/>
      <c r="F7" s="107"/>
      <c r="G7" s="107"/>
      <c r="H7" s="107"/>
      <c r="I7" s="110"/>
    </row>
    <row r="8" spans="1:9" ht="18">
      <c r="A8" s="111" t="s">
        <v>89</v>
      </c>
      <c r="C8" s="112">
        <v>65</v>
      </c>
      <c r="D8" s="345">
        <v>80</v>
      </c>
      <c r="E8" s="98">
        <f>Sum!$D$13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90</v>
      </c>
      <c r="C9" s="112">
        <v>351</v>
      </c>
      <c r="D9" s="345">
        <v>390</v>
      </c>
      <c r="E9" s="344">
        <v>5</v>
      </c>
      <c r="F9" s="344">
        <v>5</v>
      </c>
      <c r="G9" s="344">
        <v>5</v>
      </c>
      <c r="H9" s="344">
        <v>5</v>
      </c>
      <c r="I9" s="344">
        <v>5</v>
      </c>
    </row>
    <row r="10" spans="1:9" ht="18">
      <c r="A10" s="111" t="s">
        <v>91</v>
      </c>
      <c r="C10" s="112">
        <f>134+44</f>
        <v>178</v>
      </c>
      <c r="D10" s="345">
        <v>400</v>
      </c>
      <c r="E10" s="98">
        <f>$E$8</f>
        <v>2.5</v>
      </c>
      <c r="F10" s="98">
        <f>$E$8</f>
        <v>2.5</v>
      </c>
      <c r="G10" s="98">
        <f>$E$8</f>
        <v>2.5</v>
      </c>
      <c r="H10" s="98">
        <f>$E$8</f>
        <v>2.5</v>
      </c>
      <c r="I10" s="113">
        <f>$E$8</f>
        <v>2.5</v>
      </c>
    </row>
    <row r="11" spans="1:9" ht="18">
      <c r="A11" s="114" t="s">
        <v>92</v>
      </c>
      <c r="C11" s="115">
        <v>55</v>
      </c>
      <c r="D11" s="345">
        <v>219</v>
      </c>
      <c r="E11" s="344">
        <v>5</v>
      </c>
      <c r="F11" s="344">
        <v>5</v>
      </c>
      <c r="G11" s="344">
        <v>5</v>
      </c>
      <c r="H11" s="344">
        <v>5</v>
      </c>
      <c r="I11" s="344">
        <v>5</v>
      </c>
    </row>
    <row r="12" spans="1:9" ht="18">
      <c r="A12" s="114" t="s">
        <v>93</v>
      </c>
      <c r="C12" s="115"/>
      <c r="D12" s="345"/>
      <c r="I12" s="113"/>
    </row>
    <row r="13" spans="1:9" ht="18">
      <c r="A13" s="111" t="s">
        <v>94</v>
      </c>
      <c r="C13" s="115">
        <f>(1*80)</f>
        <v>80</v>
      </c>
      <c r="D13" s="345">
        <v>16</v>
      </c>
      <c r="E13" s="98">
        <f aca="true" t="shared" si="0" ref="E13:I15">$E$8</f>
        <v>2.5</v>
      </c>
      <c r="F13" s="98">
        <f t="shared" si="0"/>
        <v>2.5</v>
      </c>
      <c r="G13" s="98">
        <f t="shared" si="0"/>
        <v>2.5</v>
      </c>
      <c r="H13" s="98">
        <f t="shared" si="0"/>
        <v>2.5</v>
      </c>
      <c r="I13" s="113">
        <f t="shared" si="0"/>
        <v>2.5</v>
      </c>
    </row>
    <row r="14" spans="1:9" ht="18">
      <c r="A14" s="111" t="s">
        <v>90</v>
      </c>
      <c r="C14" s="115">
        <f>(2*80)</f>
        <v>160</v>
      </c>
      <c r="D14" s="345">
        <v>190</v>
      </c>
      <c r="E14" s="344">
        <v>5</v>
      </c>
      <c r="F14" s="344">
        <v>5</v>
      </c>
      <c r="G14" s="344">
        <v>5</v>
      </c>
      <c r="H14" s="344">
        <v>5</v>
      </c>
      <c r="I14" s="344">
        <v>5</v>
      </c>
    </row>
    <row r="15" spans="1:9" ht="18">
      <c r="A15" s="111" t="s">
        <v>91</v>
      </c>
      <c r="C15" s="115">
        <f>(2*80)</f>
        <v>160</v>
      </c>
      <c r="D15" s="345">
        <v>155</v>
      </c>
      <c r="E15" s="98">
        <f t="shared" si="0"/>
        <v>2.5</v>
      </c>
      <c r="F15" s="98">
        <f t="shared" si="0"/>
        <v>2.5</v>
      </c>
      <c r="G15" s="98">
        <f t="shared" si="0"/>
        <v>2.5</v>
      </c>
      <c r="H15" s="98">
        <f t="shared" si="0"/>
        <v>2.5</v>
      </c>
      <c r="I15" s="113">
        <f t="shared" si="0"/>
        <v>2.5</v>
      </c>
    </row>
    <row r="16" spans="1:9" ht="18">
      <c r="A16" s="116" t="s">
        <v>92</v>
      </c>
      <c r="B16" s="117"/>
      <c r="C16" s="118">
        <f>(1*80)</f>
        <v>80</v>
      </c>
      <c r="D16" s="346">
        <v>41</v>
      </c>
      <c r="E16" s="344">
        <v>5</v>
      </c>
      <c r="F16" s="344">
        <v>5</v>
      </c>
      <c r="G16" s="344">
        <v>5</v>
      </c>
      <c r="H16" s="344">
        <v>5</v>
      </c>
      <c r="I16" s="344">
        <v>5</v>
      </c>
    </row>
    <row r="17" spans="1:9" ht="18.75" thickBot="1">
      <c r="A17" s="368" t="s">
        <v>375</v>
      </c>
      <c r="B17" s="369"/>
      <c r="C17" s="118"/>
      <c r="D17" s="346">
        <v>131</v>
      </c>
      <c r="E17" s="80"/>
      <c r="F17" s="80"/>
      <c r="G17" s="80"/>
      <c r="H17" s="80"/>
      <c r="I17" s="82"/>
    </row>
    <row r="18" spans="1:9" ht="19.5" thickBot="1" thickTop="1">
      <c r="A18" s="83" t="s">
        <v>95</v>
      </c>
      <c r="B18" s="97"/>
      <c r="C18" s="97"/>
      <c r="D18" s="97"/>
      <c r="E18" s="347">
        <f>+E8*$D$8+E9*$D$9+E10*$D$10+E11*$D$11+E13*$D$13+E14*$D$14+E15*$D$15+E16*$D$16+$D$17</f>
        <v>5958.5</v>
      </c>
      <c r="F18" s="347">
        <f>+F8*$D$8+F9*$D$9+F10*$D$10+F11*$D$11+F13*$D$13+F14*$D$14+F15*$D$15+F16*$D$16+$D$17</f>
        <v>5958.5</v>
      </c>
      <c r="G18" s="347">
        <f>+G8*$D$8+G9*$D$9+G10*$D$10+G11*$D$11+G13*$D$13+G14*$D$14+G15*$D$15+G16*$D$16+$D$17</f>
        <v>5958.5</v>
      </c>
      <c r="H18" s="347">
        <f>+H8*$D$8+H9*$D$9+H10*$D$10+H11*$D$11+H13*$D$13+H14*$D$14+H15*$D$15+H16*$D$16+$D$17</f>
        <v>5958.5</v>
      </c>
      <c r="I18" s="347">
        <f>+I8*$D$8+I9*$D$9+I10*$D$10+I11*$D$11+I13*$D$13+I14*$D$14+I15*$D$15+I16*$D$16+$D$17</f>
        <v>5958.5</v>
      </c>
    </row>
    <row r="19" spans="1:9" ht="19.5" thickBot="1" thickTop="1">
      <c r="A19" s="86" t="s">
        <v>96</v>
      </c>
      <c r="B19" s="87"/>
      <c r="C19" s="87"/>
      <c r="D19" s="87"/>
      <c r="E19" s="347">
        <f>E18*$C$112</f>
        <v>1223.9086699659988</v>
      </c>
      <c r="F19" s="348">
        <f>F18*$C$112</f>
        <v>1223.9086699659988</v>
      </c>
      <c r="G19" s="348">
        <f>G18*$C$112</f>
        <v>1223.9086699659988</v>
      </c>
      <c r="H19" s="348">
        <f>H18*$C$112</f>
        <v>1223.9086699659988</v>
      </c>
      <c r="I19" s="348">
        <f>I18*$C$112</f>
        <v>1223.9086699659988</v>
      </c>
    </row>
    <row r="20" spans="1:9" ht="18">
      <c r="A20" s="100"/>
      <c r="C20" s="88"/>
      <c r="E20" s="349" t="s">
        <v>97</v>
      </c>
      <c r="F20" s="350">
        <f>AVERAGE(E18:I18)</f>
        <v>5958.5</v>
      </c>
      <c r="G20" s="351" t="s">
        <v>98</v>
      </c>
      <c r="H20" s="352"/>
      <c r="I20" s="353">
        <f>AVERAGE(E19:I19)</f>
        <v>1223.9086699659988</v>
      </c>
    </row>
    <row r="21" spans="1:3" ht="19.5" thickTop="1">
      <c r="A21" s="105" t="s">
        <v>99</v>
      </c>
      <c r="C21" s="112"/>
    </row>
    <row r="22" spans="1:9" ht="18">
      <c r="A22" s="63" t="s">
        <v>100</v>
      </c>
      <c r="B22" s="107"/>
      <c r="C22" s="292" t="s">
        <v>260</v>
      </c>
      <c r="E22" s="107"/>
      <c r="F22" s="107"/>
      <c r="G22" s="107"/>
      <c r="H22" s="107"/>
      <c r="I22" s="110"/>
    </row>
    <row r="23" spans="1:9" ht="18">
      <c r="A23" s="114" t="s">
        <v>101</v>
      </c>
      <c r="C23" s="115">
        <v>200</v>
      </c>
      <c r="E23" s="65">
        <f>Sum!$D$14</f>
        <v>2.5</v>
      </c>
      <c r="F23" s="66">
        <f>$E$23</f>
        <v>2.5</v>
      </c>
      <c r="G23" s="66"/>
      <c r="H23" s="66"/>
      <c r="I23" s="67"/>
    </row>
    <row r="24" spans="1:9" ht="18">
      <c r="A24" s="114" t="s">
        <v>102</v>
      </c>
      <c r="C24" s="115">
        <v>231.25</v>
      </c>
      <c r="E24" s="66"/>
      <c r="F24" s="66"/>
      <c r="G24" s="66">
        <f>$E$23</f>
        <v>2.5</v>
      </c>
      <c r="H24" s="66"/>
      <c r="I24" s="67"/>
    </row>
    <row r="25" spans="1:9" ht="18">
      <c r="A25" s="114" t="s">
        <v>103</v>
      </c>
      <c r="C25" s="115">
        <v>208.83</v>
      </c>
      <c r="E25" s="66"/>
      <c r="F25" s="66"/>
      <c r="G25" s="66"/>
      <c r="H25" s="66">
        <f>$E$23</f>
        <v>2.5</v>
      </c>
      <c r="I25" s="67"/>
    </row>
    <row r="26" spans="1:9" ht="18">
      <c r="A26" s="114" t="s">
        <v>104</v>
      </c>
      <c r="C26" s="115">
        <v>224.78</v>
      </c>
      <c r="E26" s="66"/>
      <c r="F26" s="66"/>
      <c r="G26" s="66"/>
      <c r="H26" s="66"/>
      <c r="I26" s="67">
        <f>$E$23</f>
        <v>2.5</v>
      </c>
    </row>
    <row r="27" spans="1:9" ht="18">
      <c r="A27" s="114" t="s">
        <v>105</v>
      </c>
      <c r="C27" s="115">
        <v>381.82</v>
      </c>
      <c r="E27" s="66">
        <f>E$23</f>
        <v>2.5</v>
      </c>
      <c r="F27" s="66">
        <f>F$23</f>
        <v>2.5</v>
      </c>
      <c r="G27" s="66"/>
      <c r="H27" s="66"/>
      <c r="I27" s="67"/>
    </row>
    <row r="28" spans="1:9" ht="18">
      <c r="A28" s="114" t="s">
        <v>106</v>
      </c>
      <c r="C28" s="115">
        <v>467.87</v>
      </c>
      <c r="E28" s="66"/>
      <c r="F28" s="66"/>
      <c r="G28" s="66">
        <f>G$24</f>
        <v>2.5</v>
      </c>
      <c r="H28" s="66"/>
      <c r="I28" s="67"/>
    </row>
    <row r="29" spans="1:9" ht="18">
      <c r="A29" s="114" t="s">
        <v>107</v>
      </c>
      <c r="C29" s="115">
        <v>400.11</v>
      </c>
      <c r="E29" s="66"/>
      <c r="F29" s="66"/>
      <c r="G29" s="66"/>
      <c r="H29" s="66">
        <f>H$25</f>
        <v>2.5</v>
      </c>
      <c r="I29" s="67"/>
    </row>
    <row r="30" spans="1:9" ht="18">
      <c r="A30" s="114" t="s">
        <v>108</v>
      </c>
      <c r="C30" s="115">
        <v>220.49</v>
      </c>
      <c r="E30" s="66"/>
      <c r="F30" s="66"/>
      <c r="G30" s="66"/>
      <c r="H30" s="66"/>
      <c r="I30" s="67">
        <f>I$26</f>
        <v>2.5</v>
      </c>
    </row>
    <row r="31" spans="1:9" ht="18">
      <c r="A31" s="114" t="s">
        <v>109</v>
      </c>
      <c r="C31" s="115"/>
      <c r="E31" s="66"/>
      <c r="F31" s="66"/>
      <c r="G31" s="66"/>
      <c r="H31" s="66"/>
      <c r="I31" s="67"/>
    </row>
    <row r="32" spans="1:9" ht="18">
      <c r="A32" s="114" t="s">
        <v>110</v>
      </c>
      <c r="C32" s="115">
        <v>7500</v>
      </c>
      <c r="E32" s="66"/>
      <c r="F32" s="66"/>
      <c r="G32" s="66"/>
      <c r="H32" s="66">
        <v>1</v>
      </c>
      <c r="I32" s="67"/>
    </row>
    <row r="33" spans="1:9" ht="18">
      <c r="A33" s="114" t="s">
        <v>111</v>
      </c>
      <c r="C33" s="115">
        <v>9000</v>
      </c>
      <c r="E33" s="66"/>
      <c r="F33" s="66"/>
      <c r="G33" s="66"/>
      <c r="H33" s="66"/>
      <c r="I33" s="67">
        <v>1</v>
      </c>
    </row>
    <row r="34" spans="1:9" ht="18">
      <c r="A34" s="111" t="s">
        <v>112</v>
      </c>
      <c r="C34" s="112"/>
      <c r="E34" s="66"/>
      <c r="F34" s="66"/>
      <c r="G34" s="66"/>
      <c r="H34" s="66"/>
      <c r="I34" s="67"/>
    </row>
    <row r="35" spans="1:9" ht="18">
      <c r="A35" s="111" t="s">
        <v>113</v>
      </c>
      <c r="C35" s="112">
        <v>7500</v>
      </c>
      <c r="E35" s="66">
        <v>1</v>
      </c>
      <c r="F35" s="66">
        <v>1</v>
      </c>
      <c r="G35" s="66">
        <v>1</v>
      </c>
      <c r="H35" s="66"/>
      <c r="I35" s="67"/>
    </row>
    <row r="36" spans="1:9" ht="18">
      <c r="A36" s="114" t="s">
        <v>93</v>
      </c>
      <c r="C36" s="112"/>
      <c r="D36" s="293" t="s">
        <v>261</v>
      </c>
      <c r="E36" s="66"/>
      <c r="F36" s="66"/>
      <c r="G36" s="66"/>
      <c r="H36" s="66"/>
      <c r="I36" s="67"/>
    </row>
    <row r="37" spans="1:9" ht="18">
      <c r="A37" s="114" t="s">
        <v>101</v>
      </c>
      <c r="C37" s="294">
        <f>+D37*2</f>
        <v>172.08</v>
      </c>
      <c r="D37" s="112">
        <v>86.04</v>
      </c>
      <c r="E37" s="66">
        <f>E$23</f>
        <v>2.5</v>
      </c>
      <c r="F37" s="66">
        <f>F$23</f>
        <v>2.5</v>
      </c>
      <c r="G37" s="66"/>
      <c r="H37" s="66"/>
      <c r="I37" s="67"/>
    </row>
    <row r="38" spans="1:9" ht="18">
      <c r="A38" s="114" t="s">
        <v>102</v>
      </c>
      <c r="C38" s="294">
        <f aca="true" t="shared" si="1" ref="C38:C47">+D38*2</f>
        <v>215.12</v>
      </c>
      <c r="D38" s="112">
        <v>107.56</v>
      </c>
      <c r="E38" s="66"/>
      <c r="F38" s="66"/>
      <c r="G38" s="66">
        <f>G$24</f>
        <v>2.5</v>
      </c>
      <c r="H38" s="66"/>
      <c r="I38" s="67"/>
    </row>
    <row r="39" spans="1:9" ht="18">
      <c r="A39" s="114" t="s">
        <v>103</v>
      </c>
      <c r="C39" s="294">
        <f t="shared" si="1"/>
        <v>96.8</v>
      </c>
      <c r="D39" s="112">
        <v>48.4</v>
      </c>
      <c r="E39" s="66"/>
      <c r="F39" s="66"/>
      <c r="G39" s="66"/>
      <c r="H39" s="66">
        <f>H$25</f>
        <v>2.5</v>
      </c>
      <c r="I39" s="67"/>
    </row>
    <row r="40" spans="1:9" ht="18">
      <c r="A40" s="114" t="s">
        <v>104</v>
      </c>
      <c r="C40" s="294">
        <f t="shared" si="1"/>
        <v>107.56</v>
      </c>
      <c r="D40" s="112">
        <v>53.78</v>
      </c>
      <c r="E40" s="66"/>
      <c r="F40" s="66"/>
      <c r="G40" s="66"/>
      <c r="H40" s="66"/>
      <c r="I40" s="67">
        <f>I$26</f>
        <v>2.5</v>
      </c>
    </row>
    <row r="41" spans="1:9" ht="18">
      <c r="A41" s="114" t="s">
        <v>105</v>
      </c>
      <c r="B41" s="68"/>
      <c r="C41" s="294">
        <f t="shared" si="1"/>
        <v>344.16</v>
      </c>
      <c r="D41" s="115">
        <f>2*$D37</f>
        <v>172.08</v>
      </c>
      <c r="E41" s="66">
        <f>E$23</f>
        <v>2.5</v>
      </c>
      <c r="F41" s="66">
        <f>F$23</f>
        <v>2.5</v>
      </c>
      <c r="G41" s="66"/>
      <c r="H41" s="66"/>
      <c r="I41" s="67"/>
    </row>
    <row r="42" spans="1:9" ht="18">
      <c r="A42" s="114" t="s">
        <v>106</v>
      </c>
      <c r="B42" s="68"/>
      <c r="C42" s="294">
        <f t="shared" si="1"/>
        <v>430.24</v>
      </c>
      <c r="D42" s="115">
        <f>2*$D38</f>
        <v>215.12</v>
      </c>
      <c r="E42" s="66"/>
      <c r="F42" s="66"/>
      <c r="G42" s="66">
        <f>G$24</f>
        <v>2.5</v>
      </c>
      <c r="H42" s="66"/>
      <c r="I42" s="67"/>
    </row>
    <row r="43" spans="1:9" ht="18">
      <c r="A43" s="114" t="s">
        <v>107</v>
      </c>
      <c r="B43" s="68"/>
      <c r="C43" s="294">
        <f t="shared" si="1"/>
        <v>193.6</v>
      </c>
      <c r="D43" s="115">
        <f>2*$D39</f>
        <v>96.8</v>
      </c>
      <c r="E43" s="66"/>
      <c r="F43" s="66"/>
      <c r="G43" s="66"/>
      <c r="H43" s="66">
        <f>H$25</f>
        <v>2.5</v>
      </c>
      <c r="I43" s="67"/>
    </row>
    <row r="44" spans="1:9" ht="18">
      <c r="A44" s="114" t="s">
        <v>108</v>
      </c>
      <c r="B44" s="68"/>
      <c r="C44" s="294">
        <f t="shared" si="1"/>
        <v>215.12</v>
      </c>
      <c r="D44" s="115">
        <f>2*$D40</f>
        <v>107.56</v>
      </c>
      <c r="E44" s="66"/>
      <c r="F44" s="66"/>
      <c r="G44" s="66"/>
      <c r="H44" s="66"/>
      <c r="I44" s="67">
        <f>I$26</f>
        <v>2.5</v>
      </c>
    </row>
    <row r="45" spans="1:9" ht="18">
      <c r="A45" s="114" t="s">
        <v>114</v>
      </c>
      <c r="C45" s="294">
        <f t="shared" si="1"/>
        <v>3011.56</v>
      </c>
      <c r="D45" s="112">
        <v>1505.78</v>
      </c>
      <c r="E45" s="66"/>
      <c r="F45" s="66"/>
      <c r="G45" s="66"/>
      <c r="H45" s="66">
        <v>1</v>
      </c>
      <c r="I45" s="67"/>
    </row>
    <row r="46" spans="1:9" ht="18">
      <c r="A46" s="114" t="s">
        <v>115</v>
      </c>
      <c r="C46" s="294">
        <f t="shared" si="1"/>
        <v>2581.34</v>
      </c>
      <c r="D46" s="112">
        <v>1290.67</v>
      </c>
      <c r="E46" s="66"/>
      <c r="F46" s="66"/>
      <c r="G46" s="66"/>
      <c r="H46" s="66"/>
      <c r="I46" s="67">
        <v>1</v>
      </c>
    </row>
    <row r="47" spans="1:9" ht="18">
      <c r="A47" s="116" t="s">
        <v>116</v>
      </c>
      <c r="B47" s="117"/>
      <c r="C47" s="294">
        <f t="shared" si="1"/>
        <v>3012</v>
      </c>
      <c r="D47" s="118">
        <v>1506</v>
      </c>
      <c r="E47" s="69">
        <v>1</v>
      </c>
      <c r="F47" s="69">
        <v>1</v>
      </c>
      <c r="G47" s="69">
        <v>1</v>
      </c>
      <c r="H47" s="69"/>
      <c r="I47" s="70"/>
    </row>
    <row r="48" spans="1:9" ht="18.75" thickBot="1">
      <c r="A48" s="114"/>
      <c r="B48" s="68"/>
      <c r="C48" s="115"/>
      <c r="E48" s="71"/>
      <c r="F48" s="71"/>
      <c r="G48" s="71"/>
      <c r="H48" s="71"/>
      <c r="I48" s="72"/>
    </row>
    <row r="49" spans="1:9" ht="19.5" thickBot="1" thickTop="1">
      <c r="A49" s="83" t="s">
        <v>117</v>
      </c>
      <c r="B49" s="68"/>
      <c r="C49" s="115"/>
      <c r="E49" s="118">
        <f>+$C$23*E23+$C$24*E24+$C$25*E25+$C$26*E26+$C$27*E27+$C$28*E28+$C$29*E29+$C$30*E30+$C$32*E32+$C$33*E33+$C$35*E35+$C$37*E37+$C$38*E38+$C$39*E39+$C$40*E40+$C$41*E41+$C$42*E42+$C$43*E43+$C$44*E44+$C$45*E45+$C$46*E46+$C$47*E47</f>
        <v>13257.15</v>
      </c>
      <c r="F49" s="118">
        <f>+$C$23*F23+$C$24*F24+$C$25*F25+$C$26*F26+$C$27*F27+$C$28*F28+$C$29*F29+$C$30*F30+$C$32*F32+$C$33*F33+$C$35*F35+$C$37*F37+$C$38*F38+$C$39*F39+$C$40*F40+$C$41*F41+$C$42*F42+$C$43*F43+$C$44*F44+$C$45*F45+$C$46*F46+$C$47*F47</f>
        <v>13257.15</v>
      </c>
      <c r="G49" s="118">
        <f>+$C$23*G23+$C$24*G24+$C$25*G25+$C$26*G26+$C$27*G27+$C$28*G28+$C$29*G29+$C$30*G30+$C$32*G32+$C$33*G33+$C$35*G35+$C$37*G37+$C$38*G38+$C$39*G39+$C$40*G40+$C$41*G41+$C$42*G42+$C$43*G43+$C$44*G44+$C$45*G45+$C$46*G46+$C$47*G47</f>
        <v>13873.199999999999</v>
      </c>
      <c r="H49" s="118">
        <f>+$C$23*H23+$C$24*H24+$C$25*H25+$C$26*H26+$C$27*H27+$C$28*H28+$C$29*H29+$C$30*H30+$C$32*H32+$C$33*H33+$C$35*H35+$C$37*H37+$C$38*H38+$C$39*H39+$C$40*H40+$C$41*H41+$C$42*H42+$C$43*H43+$C$44*H44+$C$45*H45+$C$46*H46+$C$47*H47</f>
        <v>12759.91</v>
      </c>
      <c r="I49" s="118">
        <f>+$C$23*I23+$C$24*I24+$C$25*I25+$C$26*I26+$C$27*I27+$C$28*I28+$C$29*I29+$C$30*I30+$C$32*I32+$C$33*I33+$C$35*I35+$C$37*I37+$C$38*I38+$C$39*I39+$C$40*I40+$C$41*I41+$C$42*I42+$C$43*I43+$C$44*I44+$C$45*I45+$C$46*I46+$C$47*I47</f>
        <v>13501.214999999998</v>
      </c>
    </row>
    <row r="50" spans="1:9" ht="18.75" thickTop="1">
      <c r="A50" s="114" t="s">
        <v>118</v>
      </c>
      <c r="B50" s="68"/>
      <c r="C50" s="115"/>
      <c r="E50" s="115">
        <v>715.1</v>
      </c>
      <c r="F50" s="115">
        <v>715.1</v>
      </c>
      <c r="G50" s="115">
        <v>847.025</v>
      </c>
      <c r="H50" s="115">
        <v>643.075</v>
      </c>
      <c r="I50" s="73">
        <v>696.4</v>
      </c>
    </row>
    <row r="51" spans="1:9" ht="18">
      <c r="A51" s="114" t="s">
        <v>119</v>
      </c>
      <c r="B51" s="68"/>
      <c r="C51" s="115"/>
      <c r="E51" s="115">
        <v>1384.75</v>
      </c>
      <c r="F51" s="115">
        <v>1384.75</v>
      </c>
      <c r="G51" s="115">
        <v>1707.475</v>
      </c>
      <c r="H51" s="115">
        <v>1242.275</v>
      </c>
      <c r="I51" s="73">
        <v>820.125</v>
      </c>
    </row>
    <row r="52" spans="1:9" ht="18">
      <c r="A52" s="114" t="s">
        <v>120</v>
      </c>
      <c r="B52" s="68"/>
      <c r="C52" s="115"/>
      <c r="E52" s="74">
        <f>E49-E50-E51</f>
        <v>11157.3</v>
      </c>
      <c r="F52" s="74">
        <f>F49-F50-F51</f>
        <v>11157.3</v>
      </c>
      <c r="G52" s="74">
        <f>G49-G50-G51</f>
        <v>11318.699999999999</v>
      </c>
      <c r="H52" s="74">
        <f>H49-H50-H51</f>
        <v>10874.56</v>
      </c>
      <c r="I52" s="75">
        <f>I49-I50-I51</f>
        <v>11984.689999999999</v>
      </c>
    </row>
    <row r="53" spans="1:9" ht="18">
      <c r="A53" s="114" t="s">
        <v>121</v>
      </c>
      <c r="B53" s="68"/>
      <c r="C53" s="115"/>
      <c r="E53" s="115">
        <f>E50*$C$113</f>
        <v>287.5522960725073</v>
      </c>
      <c r="F53" s="115">
        <f>F50*$C$113</f>
        <v>287.5522960725073</v>
      </c>
      <c r="G53" s="115">
        <f>G50*$C$113</f>
        <v>340.6012915407852</v>
      </c>
      <c r="H53" s="115">
        <f>H50*$C$113</f>
        <v>258.58997734138956</v>
      </c>
      <c r="I53" s="73">
        <f>I50*$C$113</f>
        <v>280.03274924471276</v>
      </c>
    </row>
    <row r="54" spans="1:9" ht="18">
      <c r="A54" s="114" t="s">
        <v>122</v>
      </c>
      <c r="B54" s="68"/>
      <c r="C54" s="115"/>
      <c r="E54" s="115">
        <f>E51*$C$112</f>
        <v>284.43526571039973</v>
      </c>
      <c r="F54" s="115">
        <f>F51*$C$112</f>
        <v>284.43526571039973</v>
      </c>
      <c r="G54" s="115">
        <f>G51*$C$112</f>
        <v>350.7247556012744</v>
      </c>
      <c r="H54" s="115">
        <f>H51*$C$112</f>
        <v>255.17011714055738</v>
      </c>
      <c r="I54" s="73">
        <f>I51*$C$112</f>
        <v>168.45818544195095</v>
      </c>
    </row>
    <row r="55" spans="1:9" ht="18">
      <c r="A55" s="114" t="s">
        <v>123</v>
      </c>
      <c r="B55" s="68"/>
      <c r="C55" s="115"/>
      <c r="E55" s="76">
        <f>E52*$C$111</f>
        <v>1815.799194322646</v>
      </c>
      <c r="F55" s="77">
        <f>F52*$C$111</f>
        <v>1815.799194322646</v>
      </c>
      <c r="G55" s="77">
        <f>G52*$C$111</f>
        <v>1842.0663010566834</v>
      </c>
      <c r="H55" s="77">
        <f>H52*$C$111</f>
        <v>1769.7845613735647</v>
      </c>
      <c r="I55" s="51">
        <f>I52*$C$111</f>
        <v>1950.453106594487</v>
      </c>
    </row>
    <row r="56" spans="1:9" ht="18">
      <c r="A56" s="86" t="s">
        <v>124</v>
      </c>
      <c r="B56" s="52"/>
      <c r="C56" s="74"/>
      <c r="D56" s="53"/>
      <c r="E56" s="54">
        <f>SUM(E53:E55)</f>
        <v>2387.7867561055527</v>
      </c>
      <c r="F56" s="55">
        <f>SUM(F53:F55)</f>
        <v>2387.7867561055527</v>
      </c>
      <c r="G56" s="55">
        <f>SUM(G53:G55)</f>
        <v>2533.392348198743</v>
      </c>
      <c r="H56" s="55">
        <f>SUM(H53:H55)</f>
        <v>2283.5446558555113</v>
      </c>
      <c r="I56" s="55">
        <f>SUM(I53:I55)</f>
        <v>2398.944041281151</v>
      </c>
    </row>
    <row r="57" spans="1:9" ht="18">
      <c r="A57" s="100"/>
      <c r="B57" s="68"/>
      <c r="C57" s="88"/>
      <c r="E57" s="89" t="s">
        <v>97</v>
      </c>
      <c r="F57" s="90">
        <f>AVERAGE(E49:I49)</f>
        <v>13329.725</v>
      </c>
      <c r="G57" s="91" t="s">
        <v>98</v>
      </c>
      <c r="H57" s="92"/>
      <c r="I57" s="62">
        <f>AVERAGE(E56:I56)</f>
        <v>2398.290911509302</v>
      </c>
    </row>
    <row r="58" ht="18.75">
      <c r="A58" s="105" t="s">
        <v>125</v>
      </c>
    </row>
    <row r="59" spans="1:9" ht="18">
      <c r="A59" s="106" t="s">
        <v>126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127</v>
      </c>
      <c r="C60" s="115">
        <f>0.25*(0.5*(C25+C26))</f>
        <v>54.20125</v>
      </c>
      <c r="E60" s="56"/>
      <c r="F60" s="56"/>
      <c r="G60" s="56"/>
      <c r="H60" s="56">
        <f>$E$23</f>
        <v>2.5</v>
      </c>
      <c r="I60" s="57">
        <f>$E$23</f>
        <v>2.5</v>
      </c>
    </row>
    <row r="61" spans="1:9" ht="18">
      <c r="A61" s="114" t="s">
        <v>128</v>
      </c>
      <c r="C61" s="97"/>
      <c r="D61" s="97"/>
      <c r="E61" s="58"/>
      <c r="F61" s="58"/>
      <c r="G61" s="58"/>
      <c r="H61" s="58"/>
      <c r="I61" s="59"/>
    </row>
    <row r="62" spans="1:9" ht="18">
      <c r="A62" s="114" t="s">
        <v>129</v>
      </c>
      <c r="C62" s="115"/>
      <c r="E62" s="56"/>
      <c r="F62" s="56"/>
      <c r="G62" s="56"/>
      <c r="H62" s="56"/>
      <c r="I62" s="57"/>
    </row>
    <row r="63" spans="1:9" ht="18">
      <c r="A63" s="111" t="s">
        <v>130</v>
      </c>
      <c r="C63" s="112">
        <v>200</v>
      </c>
      <c r="E63" s="41">
        <f>Sum!$D$15</f>
        <v>2</v>
      </c>
      <c r="F63" s="56">
        <f>$E$63</f>
        <v>2</v>
      </c>
      <c r="G63" s="56">
        <f>$E$63</f>
        <v>2</v>
      </c>
      <c r="H63" s="56"/>
      <c r="I63" s="57"/>
    </row>
    <row r="64" spans="1:9" ht="18">
      <c r="A64" s="111" t="s">
        <v>131</v>
      </c>
      <c r="C64" s="112"/>
      <c r="E64" s="56"/>
      <c r="F64" s="56"/>
      <c r="G64" s="56"/>
      <c r="H64" s="56"/>
      <c r="I64" s="57"/>
    </row>
    <row r="65" spans="1:9" ht="18">
      <c r="A65" s="114" t="s">
        <v>93</v>
      </c>
      <c r="C65" s="115"/>
      <c r="E65" s="56"/>
      <c r="F65" s="56"/>
      <c r="G65" s="56"/>
      <c r="H65" s="56"/>
      <c r="I65" s="57"/>
    </row>
    <row r="66" spans="1:9" ht="18">
      <c r="A66" s="111" t="s">
        <v>132</v>
      </c>
      <c r="C66" s="115">
        <f>(2/4)*(1)*(8)*(1/2)*(80)</f>
        <v>160</v>
      </c>
      <c r="E66" s="56"/>
      <c r="F66" s="56"/>
      <c r="G66" s="56"/>
      <c r="H66" s="56">
        <f>$E$23</f>
        <v>2.5</v>
      </c>
      <c r="I66" s="57">
        <f>$E$23</f>
        <v>2.5</v>
      </c>
    </row>
    <row r="67" spans="1:9" ht="18">
      <c r="A67" s="42" t="s">
        <v>130</v>
      </c>
      <c r="B67" s="117"/>
      <c r="C67" s="118">
        <f>80*2</f>
        <v>160</v>
      </c>
      <c r="D67" s="81"/>
      <c r="E67" s="56">
        <f>$E$63</f>
        <v>2</v>
      </c>
      <c r="F67" s="56">
        <f>$E$63</f>
        <v>2</v>
      </c>
      <c r="G67" s="56">
        <f>$E$63</f>
        <v>2</v>
      </c>
      <c r="H67" s="43"/>
      <c r="I67" s="44"/>
    </row>
    <row r="68" spans="1:9" ht="18">
      <c r="A68" s="114"/>
      <c r="B68" s="68"/>
      <c r="C68" s="115"/>
      <c r="E68" s="45"/>
      <c r="F68" s="45"/>
      <c r="G68" s="45"/>
      <c r="H68" s="45"/>
      <c r="I68" s="46"/>
    </row>
    <row r="69" spans="1:9" ht="18">
      <c r="A69" s="83" t="s">
        <v>133</v>
      </c>
      <c r="B69" s="68"/>
      <c r="C69" s="115"/>
      <c r="E69" s="84">
        <v>720</v>
      </c>
      <c r="F69" s="85">
        <v>720</v>
      </c>
      <c r="G69" s="85">
        <v>720</v>
      </c>
      <c r="H69" s="85">
        <v>535.503125</v>
      </c>
      <c r="I69" s="85">
        <v>535.503125</v>
      </c>
    </row>
    <row r="70" spans="1:9" ht="18">
      <c r="A70" s="114" t="s">
        <v>134</v>
      </c>
      <c r="B70" s="68"/>
      <c r="C70" s="115"/>
      <c r="E70" s="115">
        <v>0</v>
      </c>
      <c r="F70" s="115">
        <v>0</v>
      </c>
      <c r="G70" s="115">
        <v>0</v>
      </c>
      <c r="H70" s="115">
        <v>535.503125</v>
      </c>
      <c r="I70" s="73">
        <v>535.503125</v>
      </c>
    </row>
    <row r="71" spans="1:9" ht="18">
      <c r="A71" s="114" t="s">
        <v>135</v>
      </c>
      <c r="B71" s="68"/>
      <c r="C71" s="115"/>
      <c r="E71" s="74">
        <v>720</v>
      </c>
      <c r="F71" s="74">
        <v>720</v>
      </c>
      <c r="G71" s="74">
        <v>720</v>
      </c>
      <c r="H71" s="74">
        <v>0</v>
      </c>
      <c r="I71" s="75">
        <v>0</v>
      </c>
    </row>
    <row r="72" spans="1:9" ht="18">
      <c r="A72" s="114" t="s">
        <v>136</v>
      </c>
      <c r="B72" s="68"/>
      <c r="C72" s="115"/>
      <c r="E72" s="115">
        <f>E70*$C113</f>
        <v>0</v>
      </c>
      <c r="F72" s="115">
        <f>F70*$C113</f>
        <v>0</v>
      </c>
      <c r="G72" s="115">
        <f>G70*$C113</f>
        <v>0</v>
      </c>
      <c r="H72" s="115">
        <f>H70*$C113</f>
        <v>215.33373395015087</v>
      </c>
      <c r="I72" s="73">
        <f>I70*$C113</f>
        <v>215.33373395015087</v>
      </c>
    </row>
    <row r="73" spans="1:9" ht="18">
      <c r="A73" s="114" t="s">
        <v>137</v>
      </c>
      <c r="B73" s="68"/>
      <c r="C73" s="115"/>
      <c r="E73" s="115">
        <f>E71*$C112</f>
        <v>147.89195978442882</v>
      </c>
      <c r="F73" s="115">
        <f>F71*$C112</f>
        <v>147.89195978442882</v>
      </c>
      <c r="G73" s="115">
        <f>G71*$C112</f>
        <v>147.89195978442882</v>
      </c>
      <c r="H73" s="115">
        <f>H71*$C112</f>
        <v>0</v>
      </c>
      <c r="I73" s="73">
        <f>I71*$C112</f>
        <v>0</v>
      </c>
    </row>
    <row r="74" spans="1:9" ht="18">
      <c r="A74" s="86" t="s">
        <v>138</v>
      </c>
      <c r="B74" s="47"/>
      <c r="C74" s="74"/>
      <c r="D74" s="53"/>
      <c r="E74" s="48">
        <f>SUM(E72:E73)</f>
        <v>147.89195978442882</v>
      </c>
      <c r="F74" s="49">
        <f>SUM(F72:F73)</f>
        <v>147.89195978442882</v>
      </c>
      <c r="G74" s="49">
        <f>SUM(G72:G73)</f>
        <v>147.89195978442882</v>
      </c>
      <c r="H74" s="49">
        <f>SUM(H72:H73)</f>
        <v>215.33373395015087</v>
      </c>
      <c r="I74" s="49">
        <f>SUM(I72:I73)</f>
        <v>215.33373395015087</v>
      </c>
    </row>
    <row r="75" spans="1:9" ht="18">
      <c r="A75" s="100"/>
      <c r="C75" s="88"/>
      <c r="E75" s="89" t="s">
        <v>97</v>
      </c>
      <c r="F75" s="90">
        <f>AVERAGE(E69:I69)</f>
        <v>646.2012500000001</v>
      </c>
      <c r="G75" s="91" t="s">
        <v>98</v>
      </c>
      <c r="H75" s="92"/>
      <c r="I75" s="62">
        <f>AVERAGE(E74:I74)</f>
        <v>174.86866945071765</v>
      </c>
    </row>
    <row r="76" spans="1:9" ht="18.75">
      <c r="A76" s="105" t="s">
        <v>139</v>
      </c>
      <c r="E76" s="56"/>
      <c r="F76" s="56"/>
      <c r="G76" s="56"/>
      <c r="H76" s="56"/>
      <c r="I76" s="41"/>
    </row>
    <row r="77" spans="1:9" ht="18">
      <c r="A77" s="63" t="s">
        <v>140</v>
      </c>
      <c r="B77" s="107"/>
      <c r="C77" s="64">
        <f>0.25*(AVERAGE(C23:C26))</f>
        <v>54.05375</v>
      </c>
      <c r="D77" s="109"/>
      <c r="E77" s="24">
        <f>$E$23</f>
        <v>2.5</v>
      </c>
      <c r="F77" s="24">
        <f>$E$23</f>
        <v>2.5</v>
      </c>
      <c r="G77" s="24">
        <f>$E$23</f>
        <v>2.5</v>
      </c>
      <c r="H77" s="24">
        <f>$E$23</f>
        <v>2.5</v>
      </c>
      <c r="I77" s="25">
        <f>$E$23</f>
        <v>2.5</v>
      </c>
    </row>
    <row r="78" spans="1:9" ht="18">
      <c r="A78" s="42" t="s">
        <v>141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E79" s="45"/>
      <c r="F79" s="45"/>
      <c r="G79" s="45"/>
      <c r="H79" s="45"/>
      <c r="I79" s="46"/>
    </row>
    <row r="80" spans="1:9" ht="18">
      <c r="A80" s="83" t="s">
        <v>142</v>
      </c>
      <c r="B80" s="68"/>
      <c r="C80" s="112"/>
      <c r="E80" s="84">
        <v>135.134375</v>
      </c>
      <c r="F80" s="85">
        <v>135.134375</v>
      </c>
      <c r="G80" s="85">
        <v>135.134375</v>
      </c>
      <c r="H80" s="85">
        <v>135.134375</v>
      </c>
      <c r="I80" s="85">
        <v>135.134375</v>
      </c>
    </row>
    <row r="81" spans="1:9" ht="18">
      <c r="A81" s="86" t="s">
        <v>143</v>
      </c>
      <c r="B81" s="47"/>
      <c r="C81" s="27"/>
      <c r="D81" s="53"/>
      <c r="E81" s="48">
        <f>E80*$C113</f>
        <v>54.3395326661631</v>
      </c>
      <c r="F81" s="49">
        <f>F80*$C113</f>
        <v>54.3395326661631</v>
      </c>
      <c r="G81" s="49">
        <f>G80*$C113</f>
        <v>54.3395326661631</v>
      </c>
      <c r="H81" s="49">
        <f>H80*$C113</f>
        <v>54.3395326661631</v>
      </c>
      <c r="I81" s="49">
        <f>I80*$C113</f>
        <v>54.3395326661631</v>
      </c>
    </row>
    <row r="82" spans="1:9" ht="18">
      <c r="A82" s="100"/>
      <c r="C82" s="88"/>
      <c r="E82" s="89" t="s">
        <v>97</v>
      </c>
      <c r="F82" s="90">
        <f>AVERAGE(E80:I80)</f>
        <v>135.134375</v>
      </c>
      <c r="G82" s="91" t="s">
        <v>98</v>
      </c>
      <c r="H82" s="92"/>
      <c r="I82" s="62">
        <f>AVERAGE(E81:I81)</f>
        <v>54.339532666163095</v>
      </c>
    </row>
    <row r="83" spans="1:9" ht="18.75">
      <c r="A83" s="105" t="s">
        <v>144</v>
      </c>
      <c r="E83" s="56"/>
      <c r="F83" s="56"/>
      <c r="G83" s="56"/>
      <c r="H83" s="56"/>
      <c r="I83" s="56"/>
    </row>
    <row r="84" spans="1:9" ht="18">
      <c r="A84" s="63" t="s">
        <v>140</v>
      </c>
      <c r="B84" s="107"/>
      <c r="C84" s="64">
        <f>0.25*AVERAGE(C23:C26)</f>
        <v>54.05375</v>
      </c>
      <c r="D84" s="109"/>
      <c r="E84" s="24">
        <f>$E$23</f>
        <v>2.5</v>
      </c>
      <c r="F84" s="24">
        <f>$E$23</f>
        <v>2.5</v>
      </c>
      <c r="G84" s="24">
        <f>$E$23</f>
        <v>2.5</v>
      </c>
      <c r="H84" s="24">
        <f>$E$23</f>
        <v>2.5</v>
      </c>
      <c r="I84" s="25">
        <f>$E$23</f>
        <v>2.5</v>
      </c>
    </row>
    <row r="85" spans="1:9" ht="18">
      <c r="A85" s="42" t="s">
        <v>141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C86" s="115"/>
      <c r="E86" s="56"/>
      <c r="F86" s="56"/>
      <c r="G86" s="56"/>
      <c r="H86" s="56"/>
      <c r="I86" s="57"/>
    </row>
    <row r="87" spans="1:9" ht="18">
      <c r="A87" s="83" t="s">
        <v>145</v>
      </c>
      <c r="B87" s="68"/>
      <c r="C87" s="115"/>
      <c r="E87" s="84">
        <v>135.134375</v>
      </c>
      <c r="F87" s="85">
        <v>135.134375</v>
      </c>
      <c r="G87" s="85">
        <v>135.134375</v>
      </c>
      <c r="H87" s="85">
        <v>135.134375</v>
      </c>
      <c r="I87" s="85">
        <v>135.134375</v>
      </c>
    </row>
    <row r="88" spans="1:9" ht="18">
      <c r="A88" s="86" t="s">
        <v>146</v>
      </c>
      <c r="B88" s="52"/>
      <c r="C88" s="74"/>
      <c r="D88" s="53"/>
      <c r="E88" s="48">
        <f>E87*$C113</f>
        <v>54.3395326661631</v>
      </c>
      <c r="F88" s="49">
        <f>F87*$C113</f>
        <v>54.3395326661631</v>
      </c>
      <c r="G88" s="49">
        <f>G87*$C113</f>
        <v>54.3395326661631</v>
      </c>
      <c r="H88" s="49">
        <f>H87*$C113</f>
        <v>54.3395326661631</v>
      </c>
      <c r="I88" s="49">
        <f>I87*$C113</f>
        <v>54.3395326661631</v>
      </c>
    </row>
    <row r="89" spans="1:9" ht="18">
      <c r="A89" s="100"/>
      <c r="B89" s="68"/>
      <c r="C89" s="88"/>
      <c r="E89" s="89" t="s">
        <v>97</v>
      </c>
      <c r="F89" s="90">
        <f>AVERAGE(E87:I87)</f>
        <v>135.134375</v>
      </c>
      <c r="G89" s="91" t="s">
        <v>98</v>
      </c>
      <c r="H89" s="92"/>
      <c r="I89" s="62">
        <f>AVERAGE(E88:I88)</f>
        <v>54.339532666163095</v>
      </c>
    </row>
    <row r="90" spans="1:9" ht="18.75">
      <c r="A90" s="105" t="s">
        <v>147</v>
      </c>
      <c r="E90" s="56"/>
      <c r="F90" s="56"/>
      <c r="G90" s="56"/>
      <c r="H90" s="56"/>
      <c r="I90" s="56"/>
    </row>
    <row r="91" spans="1:9" ht="18">
      <c r="A91" s="106" t="s">
        <v>258</v>
      </c>
      <c r="B91" s="107"/>
      <c r="C91" s="108"/>
      <c r="D91" s="292" t="s">
        <v>263</v>
      </c>
      <c r="E91" s="24"/>
      <c r="F91" s="24"/>
      <c r="G91" s="24"/>
      <c r="H91" s="24"/>
      <c r="I91" s="25"/>
    </row>
    <row r="92" spans="1:9" ht="18">
      <c r="A92" s="111" t="s">
        <v>148</v>
      </c>
      <c r="C92" s="285">
        <v>595</v>
      </c>
      <c r="D92" s="296">
        <v>192</v>
      </c>
      <c r="E92" s="301">
        <v>1</v>
      </c>
      <c r="F92" s="301">
        <v>1</v>
      </c>
      <c r="G92" s="301">
        <v>1</v>
      </c>
      <c r="H92" s="301">
        <v>1</v>
      </c>
      <c r="I92" s="301">
        <v>1</v>
      </c>
    </row>
    <row r="93" spans="1:9" ht="18">
      <c r="A93" s="111" t="s">
        <v>149</v>
      </c>
      <c r="C93" s="285">
        <v>885</v>
      </c>
      <c r="D93" s="296">
        <v>245</v>
      </c>
      <c r="E93" s="301">
        <v>1</v>
      </c>
      <c r="F93" s="301">
        <v>1</v>
      </c>
      <c r="G93" s="301">
        <v>1</v>
      </c>
      <c r="H93" s="301">
        <v>1</v>
      </c>
      <c r="I93" s="301">
        <v>1</v>
      </c>
    </row>
    <row r="94" spans="1:9" ht="18">
      <c r="A94" s="111" t="s">
        <v>150</v>
      </c>
      <c r="C94" s="285">
        <v>3995</v>
      </c>
      <c r="D94" s="296">
        <v>1197</v>
      </c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331</v>
      </c>
      <c r="C95" s="285">
        <v>670</v>
      </c>
      <c r="D95" s="296"/>
      <c r="E95" s="301">
        <v>1</v>
      </c>
      <c r="F95" s="301">
        <v>1</v>
      </c>
      <c r="G95" s="301">
        <v>1</v>
      </c>
      <c r="H95" s="301">
        <v>1</v>
      </c>
      <c r="I95" s="301">
        <v>1</v>
      </c>
    </row>
    <row r="96" spans="1:9" ht="18">
      <c r="A96" s="111" t="s">
        <v>332</v>
      </c>
      <c r="C96" s="285">
        <v>1095</v>
      </c>
      <c r="D96" s="296"/>
      <c r="E96" s="98">
        <f>Sum!$D$13</f>
        <v>2.5</v>
      </c>
      <c r="F96" s="98">
        <f>$E$8</f>
        <v>2.5</v>
      </c>
      <c r="G96" s="98">
        <f>F96</f>
        <v>2.5</v>
      </c>
      <c r="H96" s="98">
        <f>G96</f>
        <v>2.5</v>
      </c>
      <c r="I96" s="113">
        <f>$E$8</f>
        <v>2.5</v>
      </c>
    </row>
    <row r="97" spans="1:9" ht="18">
      <c r="A97" s="307" t="s">
        <v>284</v>
      </c>
      <c r="B97" s="308"/>
      <c r="C97" s="285"/>
      <c r="D97" s="309"/>
      <c r="E97" s="301"/>
      <c r="F97" s="301"/>
      <c r="G97" s="56"/>
      <c r="H97" s="56"/>
      <c r="I97" s="57"/>
    </row>
    <row r="98" spans="1:9" ht="18">
      <c r="A98" s="42"/>
      <c r="B98" s="117"/>
      <c r="C98" s="286">
        <f>300+(200*E98)</f>
        <v>500</v>
      </c>
      <c r="D98" s="297">
        <v>1280</v>
      </c>
      <c r="E98" s="41">
        <f>1*(E63/2)</f>
        <v>1</v>
      </c>
      <c r="F98" s="43">
        <f>$E$98</f>
        <v>1</v>
      </c>
      <c r="G98" s="43">
        <f>$E$98</f>
        <v>1</v>
      </c>
      <c r="H98" s="43">
        <f>$E$98</f>
        <v>1</v>
      </c>
      <c r="I98" s="44">
        <f>$E$98</f>
        <v>1</v>
      </c>
    </row>
    <row r="99" spans="1:9" ht="18">
      <c r="A99" s="114"/>
      <c r="C99" s="115"/>
      <c r="E99" s="68"/>
      <c r="F99" s="68"/>
      <c r="G99" s="68"/>
      <c r="H99" s="68"/>
      <c r="I99" s="28"/>
    </row>
    <row r="100" spans="1:9" ht="18">
      <c r="A100" s="83" t="s">
        <v>152</v>
      </c>
      <c r="C100" s="115"/>
      <c r="E100" s="84">
        <f>+E92*$C$92+E93*$C$93+E94*$C$94+E95*$C$95+E96*$C$96+$C$98</f>
        <v>9382.5</v>
      </c>
      <c r="F100" s="84">
        <f>+F92*$C$92+F93*$C$93+F94*$C$94+F95*$C$95+F96*$C$96+$C$98</f>
        <v>9382.5</v>
      </c>
      <c r="G100" s="84">
        <f>+G92*$C$92+G93*$C$93+G94*$C$94+G95*$C$95+G96*$C$96+$C$98</f>
        <v>9382.5</v>
      </c>
      <c r="H100" s="84">
        <f>+H92*$C$92+H93*$C$93+H94*$C$94+H95*$C$95+H96*$C$96+$C$98</f>
        <v>9382.5</v>
      </c>
      <c r="I100" s="84">
        <f>+I92*$C$92+I93*$C$93+I94*$C$94+I95*$C$95+I96*$C$96+$C$98</f>
        <v>9382.5</v>
      </c>
    </row>
    <row r="101" spans="1:9" ht="19.5" thickBot="1" thickTop="1">
      <c r="A101" s="86" t="s">
        <v>153</v>
      </c>
      <c r="B101" s="52"/>
      <c r="C101" s="74"/>
      <c r="D101" s="53"/>
      <c r="E101" s="48">
        <f>E100*$C111</f>
        <v>1526.9586674851646</v>
      </c>
      <c r="F101" s="49">
        <f>F100*$C111</f>
        <v>1526.9586674851646</v>
      </c>
      <c r="G101" s="49">
        <f>G100*$C111</f>
        <v>1526.9586674851646</v>
      </c>
      <c r="H101" s="49">
        <f>H100*$C111</f>
        <v>1526.9586674851646</v>
      </c>
      <c r="I101" s="49">
        <f>I100*$C111</f>
        <v>1526.9586674851646</v>
      </c>
    </row>
    <row r="102" spans="1:9" ht="19.5" thickBot="1" thickTop="1">
      <c r="A102" s="287"/>
      <c r="B102" s="288" t="s">
        <v>259</v>
      </c>
      <c r="C102" s="289"/>
      <c r="D102" s="290"/>
      <c r="E102" s="291">
        <v>520</v>
      </c>
      <c r="F102" s="291">
        <v>520</v>
      </c>
      <c r="G102" s="291">
        <v>520</v>
      </c>
      <c r="H102" s="291">
        <v>520</v>
      </c>
      <c r="I102" s="291">
        <v>520</v>
      </c>
    </row>
    <row r="103" spans="1:9" ht="19.5" thickBot="1" thickTop="1">
      <c r="A103" s="287"/>
      <c r="B103" s="288" t="s">
        <v>343</v>
      </c>
      <c r="C103" s="289"/>
      <c r="D103" s="290"/>
      <c r="E103" s="291">
        <v>500</v>
      </c>
      <c r="F103" s="291">
        <v>500</v>
      </c>
      <c r="G103" s="291">
        <v>500</v>
      </c>
      <c r="H103" s="291">
        <v>0</v>
      </c>
      <c r="I103" s="291">
        <v>0</v>
      </c>
    </row>
    <row r="104" spans="1:9" ht="19.5" thickBot="1" thickTop="1">
      <c r="A104" s="100"/>
      <c r="C104" s="115"/>
      <c r="E104" s="89" t="s">
        <v>97</v>
      </c>
      <c r="F104" s="90">
        <f>AVERAGE(E100:I100)</f>
        <v>9382.5</v>
      </c>
      <c r="G104" s="91" t="s">
        <v>98</v>
      </c>
      <c r="H104" s="92"/>
      <c r="I104" s="62">
        <f>AVERAGE(E101:I101)+E102+AVERAGE(E103:I103)</f>
        <v>2346.9586674851644</v>
      </c>
    </row>
    <row r="105" spans="1:9" ht="18">
      <c r="A105" s="29"/>
      <c r="B105" s="103"/>
      <c r="C105" s="30"/>
      <c r="D105" s="29"/>
      <c r="E105" s="31"/>
      <c r="F105" s="31"/>
      <c r="G105" s="31"/>
      <c r="H105" s="31"/>
      <c r="I105" s="31"/>
    </row>
    <row r="107" spans="1:9" ht="18">
      <c r="A107" s="32" t="s">
        <v>154</v>
      </c>
      <c r="C107" s="88"/>
      <c r="E107" s="84">
        <f>SUM(E18,E49,E69,E80,E87,E100)</f>
        <v>29588.418750000004</v>
      </c>
      <c r="F107" s="85">
        <f>SUM(F18,F49,F69,F80,F87,F100)</f>
        <v>29588.418750000004</v>
      </c>
      <c r="G107" s="85">
        <f>SUM(G18,G49,G69,G80,G87,G100)</f>
        <v>30204.46875</v>
      </c>
      <c r="H107" s="85">
        <f>SUM(H18,H49,H69,H80,H87,H100)</f>
        <v>28906.681875000002</v>
      </c>
      <c r="I107" s="33">
        <f>SUM(I18,I49,I69,I80,I87,I100)</f>
        <v>29647.986875</v>
      </c>
    </row>
    <row r="108" spans="1:9" ht="18">
      <c r="A108" s="32" t="s">
        <v>155</v>
      </c>
      <c r="C108" s="88"/>
      <c r="E108" s="84">
        <f>SUM(E19,E56,E74,E81,E88,E101,E102,E103)</f>
        <v>6415.225118673471</v>
      </c>
      <c r="F108" s="84">
        <f>SUM(F19,F56,F74,F81,F88,F101,F102,F103)</f>
        <v>6415.225118673471</v>
      </c>
      <c r="G108" s="84">
        <f>SUM(G19,G56,G74,G81,G88,G101,G102,G103)</f>
        <v>6560.8307107666615</v>
      </c>
      <c r="H108" s="84">
        <f>SUM(H19,H56,H74,H81,H88,H101,H102,H103)</f>
        <v>5878.424792589151</v>
      </c>
      <c r="I108" s="84">
        <f>SUM(I19,I56,I74,I81,I88,I101,I102,I103)</f>
        <v>5993.824178014791</v>
      </c>
    </row>
    <row r="110" ht="18">
      <c r="A110" s="97" t="s">
        <v>156</v>
      </c>
    </row>
    <row r="111" spans="1:9" ht="18">
      <c r="A111" s="97" t="s">
        <v>157</v>
      </c>
      <c r="C111" s="34">
        <f>(0.1*(1+0.1)^10)/((1+0.1)^10-1)</f>
        <v>0.16274539488251155</v>
      </c>
      <c r="F111" s="35" t="s">
        <v>158</v>
      </c>
      <c r="G111" s="36"/>
      <c r="H111" s="37"/>
      <c r="I111" s="38">
        <f>AVERAGE(E107:I107)</f>
        <v>29587.195</v>
      </c>
    </row>
    <row r="112" spans="1:9" ht="18">
      <c r="A112" s="97" t="s">
        <v>159</v>
      </c>
      <c r="C112" s="34">
        <f>(0.1*(1+0.1)^7)/((1+0.1)^7-1)</f>
        <v>0.20540549970059557</v>
      </c>
      <c r="F112" s="35" t="s">
        <v>160</v>
      </c>
      <c r="G112" s="36"/>
      <c r="H112" s="37"/>
      <c r="I112" s="38">
        <f>AVERAGE(E108:I108)</f>
        <v>6252.705983743509</v>
      </c>
    </row>
    <row r="113" spans="1:3" ht="18">
      <c r="A113" s="97" t="s">
        <v>161</v>
      </c>
      <c r="C113" s="34">
        <f>(0.1*(1+0.1)^3)/((1+0.1)^3-1)</f>
        <v>0.4021148036253773</v>
      </c>
    </row>
    <row r="114" ht="18">
      <c r="A114" s="97" t="s">
        <v>162</v>
      </c>
    </row>
  </sheetData>
  <mergeCells count="1">
    <mergeCell ref="A17:B17"/>
  </mergeCells>
  <printOptions/>
  <pageMargins left="0.17" right="0.21" top="0.7" bottom="0.64" header="0.29" footer="0.21"/>
  <pageSetup horizontalDpi="600" verticalDpi="600" orientation="landscape" r:id="rId1"/>
  <headerFooter alignWithMargins="0">
    <oddHeader>&amp;LEVR Technology Review&amp;RAppendix 4</oddHeader>
    <oddFooter>&amp;RPage  10</oddFooter>
  </headerFooter>
  <rowBreaks count="2" manualBreakCount="2">
    <brk id="57" max="255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65" zoomScaleNormal="75" zoomScaleSheetLayoutView="65" workbookViewId="0" topLeftCell="A96">
      <selection activeCell="D109" sqref="D109"/>
    </sheetView>
  </sheetViews>
  <sheetFormatPr defaultColWidth="9.140625" defaultRowHeight="12.75"/>
  <cols>
    <col min="1" max="1" width="58.8515625" style="97" customWidth="1"/>
    <col min="2" max="2" width="2.57421875" style="97" customWidth="1"/>
    <col min="3" max="3" width="11.57421875" style="97" customWidth="1"/>
    <col min="4" max="4" width="12.00390625" style="97" customWidth="1"/>
    <col min="5" max="5" width="12.28125" style="97" customWidth="1"/>
    <col min="6" max="6" width="12.8515625" style="97" customWidth="1"/>
    <col min="7" max="7" width="12.140625" style="97" customWidth="1"/>
    <col min="8" max="8" width="12.00390625" style="97" customWidth="1"/>
    <col min="9" max="9" width="13.85156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163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78</v>
      </c>
      <c r="D4" s="100"/>
      <c r="E4" s="101" t="s">
        <v>79</v>
      </c>
      <c r="F4" s="101"/>
      <c r="G4" s="101"/>
      <c r="H4" s="101"/>
      <c r="I4" s="101"/>
    </row>
    <row r="5" spans="1:9" ht="18.75" thickBot="1">
      <c r="A5" s="103" t="s">
        <v>80</v>
      </c>
      <c r="B5" s="103"/>
      <c r="C5" s="104" t="s">
        <v>81</v>
      </c>
      <c r="D5" s="104"/>
      <c r="E5" s="103" t="s">
        <v>82</v>
      </c>
      <c r="F5" s="103" t="s">
        <v>83</v>
      </c>
      <c r="G5" s="103" t="s">
        <v>84</v>
      </c>
      <c r="H5" s="103" t="s">
        <v>85</v>
      </c>
      <c r="I5" s="103" t="s">
        <v>86</v>
      </c>
    </row>
    <row r="6" spans="1:9" ht="19.5" thickTop="1">
      <c r="A6" s="105" t="s">
        <v>87</v>
      </c>
      <c r="B6" s="98"/>
      <c r="C6" s="99"/>
      <c r="D6" s="342" t="s">
        <v>374</v>
      </c>
      <c r="E6" s="98"/>
      <c r="F6" s="98"/>
      <c r="G6" s="98"/>
      <c r="H6" s="98"/>
      <c r="I6" s="98"/>
    </row>
    <row r="7" spans="1:9" ht="18">
      <c r="A7" s="106" t="s">
        <v>88</v>
      </c>
      <c r="B7" s="107"/>
      <c r="C7" s="108"/>
      <c r="D7" s="343"/>
      <c r="E7" s="107"/>
      <c r="F7" s="107"/>
      <c r="G7" s="107"/>
      <c r="H7" s="107"/>
      <c r="I7" s="110"/>
    </row>
    <row r="8" spans="1:9" ht="18">
      <c r="A8" s="111" t="s">
        <v>89</v>
      </c>
      <c r="B8" s="98"/>
      <c r="C8" s="112">
        <v>65</v>
      </c>
      <c r="D8" s="345">
        <v>80</v>
      </c>
      <c r="E8" s="98">
        <f>Sum!$D$13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90</v>
      </c>
      <c r="B9" s="98"/>
      <c r="C9" s="112">
        <v>351</v>
      </c>
      <c r="D9" s="345">
        <v>390</v>
      </c>
      <c r="E9" s="344">
        <v>5</v>
      </c>
      <c r="F9" s="344">
        <v>5</v>
      </c>
      <c r="G9" s="344">
        <v>5</v>
      </c>
      <c r="H9" s="344">
        <v>5</v>
      </c>
      <c r="I9" s="344">
        <v>5</v>
      </c>
    </row>
    <row r="10" spans="1:9" ht="18">
      <c r="A10" s="111" t="s">
        <v>91</v>
      </c>
      <c r="B10" s="98"/>
      <c r="C10" s="112">
        <f>134+44</f>
        <v>178</v>
      </c>
      <c r="D10" s="345">
        <v>400</v>
      </c>
      <c r="E10" s="98">
        <f>$E$8</f>
        <v>2.5</v>
      </c>
      <c r="F10" s="98">
        <f>$E$8</f>
        <v>2.5</v>
      </c>
      <c r="G10" s="98">
        <f>$E$8</f>
        <v>2.5</v>
      </c>
      <c r="H10" s="98">
        <f>$E$8</f>
        <v>2.5</v>
      </c>
      <c r="I10" s="113">
        <f>$E$8</f>
        <v>2.5</v>
      </c>
    </row>
    <row r="11" spans="1:9" ht="18">
      <c r="A11" s="114" t="s">
        <v>92</v>
      </c>
      <c r="B11" s="98"/>
      <c r="C11" s="115">
        <v>55</v>
      </c>
      <c r="D11" s="345">
        <v>219</v>
      </c>
      <c r="E11" s="344">
        <v>5</v>
      </c>
      <c r="F11" s="344">
        <v>5</v>
      </c>
      <c r="G11" s="344">
        <v>5</v>
      </c>
      <c r="H11" s="344">
        <v>5</v>
      </c>
      <c r="I11" s="344">
        <v>5</v>
      </c>
    </row>
    <row r="12" spans="1:9" ht="18">
      <c r="A12" s="114" t="s">
        <v>93</v>
      </c>
      <c r="B12" s="98"/>
      <c r="C12" s="115"/>
      <c r="D12" s="345"/>
      <c r="E12" s="98"/>
      <c r="F12" s="98"/>
      <c r="G12" s="98"/>
      <c r="H12" s="98"/>
      <c r="I12" s="113"/>
    </row>
    <row r="13" spans="1:9" ht="18">
      <c r="A13" s="111" t="s">
        <v>94</v>
      </c>
      <c r="B13" s="98"/>
      <c r="C13" s="115">
        <f>(1*80)</f>
        <v>80</v>
      </c>
      <c r="D13" s="345">
        <v>16</v>
      </c>
      <c r="E13" s="98">
        <f aca="true" t="shared" si="0" ref="E13:I15">$E$8</f>
        <v>2.5</v>
      </c>
      <c r="F13" s="98">
        <f t="shared" si="0"/>
        <v>2.5</v>
      </c>
      <c r="G13" s="98">
        <f t="shared" si="0"/>
        <v>2.5</v>
      </c>
      <c r="H13" s="98">
        <f t="shared" si="0"/>
        <v>2.5</v>
      </c>
      <c r="I13" s="113">
        <f t="shared" si="0"/>
        <v>2.5</v>
      </c>
    </row>
    <row r="14" spans="1:9" ht="18">
      <c r="A14" s="111" t="s">
        <v>90</v>
      </c>
      <c r="B14" s="98"/>
      <c r="C14" s="115">
        <f>(2*80)</f>
        <v>160</v>
      </c>
      <c r="D14" s="345">
        <v>190</v>
      </c>
      <c r="E14" s="344">
        <v>5</v>
      </c>
      <c r="F14" s="344">
        <v>5</v>
      </c>
      <c r="G14" s="344">
        <v>5</v>
      </c>
      <c r="H14" s="344">
        <v>5</v>
      </c>
      <c r="I14" s="344">
        <v>5</v>
      </c>
    </row>
    <row r="15" spans="1:9" ht="18">
      <c r="A15" s="111" t="s">
        <v>91</v>
      </c>
      <c r="B15" s="98"/>
      <c r="C15" s="115">
        <f>(2*80)</f>
        <v>160</v>
      </c>
      <c r="D15" s="345">
        <v>155</v>
      </c>
      <c r="E15" s="98">
        <f t="shared" si="0"/>
        <v>2.5</v>
      </c>
      <c r="F15" s="98">
        <f t="shared" si="0"/>
        <v>2.5</v>
      </c>
      <c r="G15" s="98">
        <f t="shared" si="0"/>
        <v>2.5</v>
      </c>
      <c r="H15" s="98">
        <f t="shared" si="0"/>
        <v>2.5</v>
      </c>
      <c r="I15" s="113">
        <f t="shared" si="0"/>
        <v>2.5</v>
      </c>
    </row>
    <row r="16" spans="1:9" ht="18">
      <c r="A16" s="116" t="s">
        <v>92</v>
      </c>
      <c r="B16" s="117"/>
      <c r="C16" s="118">
        <f>(1*80)</f>
        <v>80</v>
      </c>
      <c r="D16" s="346">
        <v>41</v>
      </c>
      <c r="E16" s="344">
        <v>5</v>
      </c>
      <c r="F16" s="344">
        <v>5</v>
      </c>
      <c r="G16" s="344">
        <v>5</v>
      </c>
      <c r="H16" s="344">
        <v>5</v>
      </c>
      <c r="I16" s="344">
        <v>5</v>
      </c>
    </row>
    <row r="17" spans="1:9" ht="18.75" thickBot="1">
      <c r="A17" s="368" t="s">
        <v>375</v>
      </c>
      <c r="B17" s="369"/>
      <c r="C17" s="118"/>
      <c r="D17" s="346">
        <v>131</v>
      </c>
      <c r="E17" s="80"/>
      <c r="F17" s="80"/>
      <c r="G17" s="80"/>
      <c r="H17" s="80"/>
      <c r="I17" s="82"/>
    </row>
    <row r="18" spans="1:9" ht="19.5" thickBot="1" thickTop="1">
      <c r="A18" s="83" t="s">
        <v>95</v>
      </c>
      <c r="E18" s="347">
        <f>+E8*$D$8+E9*$D$9+E10*$D$10+E11*$D$11+E13*$D$13+E14*$D$14+E15*$D$15+E16*$D$16+$D$17</f>
        <v>5958.5</v>
      </c>
      <c r="F18" s="347">
        <f>+F8*$D$8+F9*$D$9+F10*$D$10+F11*$D$11+F13*$D$13+F14*$D$14+F15*$D$15+F16*$D$16+$D$17</f>
        <v>5958.5</v>
      </c>
      <c r="G18" s="347">
        <f>+G8*$D$8+G9*$D$9+G10*$D$10+G11*$D$11+G13*$D$13+G14*$D$14+G15*$D$15+G16*$D$16+$D$17</f>
        <v>5958.5</v>
      </c>
      <c r="H18" s="347">
        <f>+H8*$D$8+H9*$D$9+H10*$D$10+H11*$D$11+H13*$D$13+H14*$D$14+H15*$D$15+H16*$D$16+$D$17</f>
        <v>5958.5</v>
      </c>
      <c r="I18" s="347">
        <f>+I8*$D$8+I9*$D$9+I10*$D$10+I11*$D$11+I13*$D$13+I14*$D$14+I15*$D$15+I16*$D$16+$D$17</f>
        <v>5958.5</v>
      </c>
    </row>
    <row r="19" spans="1:9" ht="19.5" thickBot="1" thickTop="1">
      <c r="A19" s="86" t="s">
        <v>96</v>
      </c>
      <c r="B19" s="87"/>
      <c r="C19" s="87"/>
      <c r="D19" s="87"/>
      <c r="E19" s="347">
        <f>E18*$C$112</f>
        <v>1223.9086699659988</v>
      </c>
      <c r="F19" s="348">
        <f>F18*$C$112</f>
        <v>1223.9086699659988</v>
      </c>
      <c r="G19" s="348">
        <f>G18*$C$112</f>
        <v>1223.9086699659988</v>
      </c>
      <c r="H19" s="348">
        <f>H18*$C$112</f>
        <v>1223.9086699659988</v>
      </c>
      <c r="I19" s="348">
        <f>I18*$C$112</f>
        <v>1223.9086699659988</v>
      </c>
    </row>
    <row r="20" spans="1:9" ht="19.5" thickBot="1" thickTop="1">
      <c r="A20" s="100"/>
      <c r="B20" s="98"/>
      <c r="C20" s="88"/>
      <c r="D20" s="100"/>
      <c r="E20" s="349" t="s">
        <v>97</v>
      </c>
      <c r="F20" s="350">
        <f>AVERAGE(E18:I18)</f>
        <v>5958.5</v>
      </c>
      <c r="G20" s="351" t="s">
        <v>98</v>
      </c>
      <c r="H20" s="352"/>
      <c r="I20" s="353">
        <f>AVERAGE(E19:I19)</f>
        <v>1223.9086699659988</v>
      </c>
    </row>
    <row r="21" spans="1:9" ht="19.5" thickTop="1">
      <c r="A21" s="105" t="s">
        <v>99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100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101</v>
      </c>
      <c r="B23" s="98"/>
      <c r="C23" s="112">
        <f>'GDF 1'!C23</f>
        <v>200</v>
      </c>
      <c r="D23" s="100"/>
      <c r="E23" s="8">
        <f>Sum!$E$14</f>
        <v>3.25</v>
      </c>
      <c r="F23" s="9">
        <f>$E$23</f>
        <v>3.25</v>
      </c>
      <c r="G23" s="9"/>
      <c r="H23" s="9"/>
      <c r="I23" s="10"/>
    </row>
    <row r="24" spans="1:9" ht="18">
      <c r="A24" s="114" t="s">
        <v>102</v>
      </c>
      <c r="B24" s="98"/>
      <c r="C24" s="112">
        <f>'GDF 1'!C24</f>
        <v>231.25</v>
      </c>
      <c r="D24" s="100"/>
      <c r="E24" s="9"/>
      <c r="F24" s="9"/>
      <c r="G24" s="9">
        <f>$E$23</f>
        <v>3.25</v>
      </c>
      <c r="H24" s="9"/>
      <c r="I24" s="10"/>
    </row>
    <row r="25" spans="1:9" ht="18">
      <c r="A25" s="114" t="s">
        <v>103</v>
      </c>
      <c r="B25" s="98"/>
      <c r="C25" s="112">
        <f>'GDF 1'!C25</f>
        <v>208.83</v>
      </c>
      <c r="D25" s="100"/>
      <c r="E25" s="9"/>
      <c r="F25" s="9"/>
      <c r="G25" s="9"/>
      <c r="H25" s="9">
        <f>$E$23</f>
        <v>3.25</v>
      </c>
      <c r="I25" s="10"/>
    </row>
    <row r="26" spans="1:9" ht="18">
      <c r="A26" s="114" t="s">
        <v>104</v>
      </c>
      <c r="B26" s="98"/>
      <c r="C26" s="112">
        <f>'GDF 1'!C26</f>
        <v>224.78</v>
      </c>
      <c r="D26" s="100"/>
      <c r="E26" s="9"/>
      <c r="F26" s="9"/>
      <c r="G26" s="9"/>
      <c r="H26" s="9"/>
      <c r="I26" s="10">
        <f>$E$23</f>
        <v>3.25</v>
      </c>
    </row>
    <row r="27" spans="1:9" ht="18">
      <c r="A27" s="114" t="s">
        <v>105</v>
      </c>
      <c r="B27" s="98"/>
      <c r="C27" s="112">
        <f>'GDF 1'!C27</f>
        <v>381.82</v>
      </c>
      <c r="D27" s="100"/>
      <c r="E27" s="9">
        <f>E$23</f>
        <v>3.25</v>
      </c>
      <c r="F27" s="9">
        <f>F$23</f>
        <v>3.25</v>
      </c>
      <c r="G27" s="9"/>
      <c r="H27" s="9"/>
      <c r="I27" s="10"/>
    </row>
    <row r="28" spans="1:9" ht="18">
      <c r="A28" s="114" t="s">
        <v>106</v>
      </c>
      <c r="B28" s="98"/>
      <c r="C28" s="112">
        <f>'GDF 1'!C28</f>
        <v>467.87</v>
      </c>
      <c r="D28" s="100"/>
      <c r="E28" s="9"/>
      <c r="F28" s="9"/>
      <c r="G28" s="9">
        <f>G$24</f>
        <v>3.25</v>
      </c>
      <c r="H28" s="9"/>
      <c r="I28" s="10"/>
    </row>
    <row r="29" spans="1:9" ht="18">
      <c r="A29" s="114" t="s">
        <v>107</v>
      </c>
      <c r="B29" s="98"/>
      <c r="C29" s="112">
        <f>'GDF 1'!C29</f>
        <v>400.11</v>
      </c>
      <c r="D29" s="100"/>
      <c r="E29" s="9"/>
      <c r="F29" s="9"/>
      <c r="G29" s="9"/>
      <c r="H29" s="9">
        <f>H$25</f>
        <v>3.25</v>
      </c>
      <c r="I29" s="10"/>
    </row>
    <row r="30" spans="1:9" ht="18">
      <c r="A30" s="114" t="s">
        <v>108</v>
      </c>
      <c r="B30" s="98"/>
      <c r="C30" s="112">
        <f>'GDF 1'!C30</f>
        <v>220.49</v>
      </c>
      <c r="D30" s="100"/>
      <c r="E30" s="9"/>
      <c r="F30" s="9"/>
      <c r="G30" s="9"/>
      <c r="H30" s="9"/>
      <c r="I30" s="10">
        <f>I$26</f>
        <v>3.25</v>
      </c>
    </row>
    <row r="31" spans="1:9" ht="18">
      <c r="A31" s="114" t="s">
        <v>109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110</v>
      </c>
      <c r="B32" s="98"/>
      <c r="C32" s="112">
        <f>'GDF 1'!C32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111</v>
      </c>
      <c r="B33" s="98"/>
      <c r="C33" s="112">
        <f>'GDF 1'!C33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112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113</v>
      </c>
      <c r="B35" s="98"/>
      <c r="C35" s="112">
        <f>'GDF 1'!C35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93</v>
      </c>
      <c r="B36" s="98"/>
      <c r="C36" s="112"/>
      <c r="D36" s="293" t="s">
        <v>262</v>
      </c>
      <c r="E36" s="9"/>
      <c r="F36" s="9"/>
      <c r="G36" s="9"/>
      <c r="H36" s="9"/>
      <c r="I36" s="10"/>
    </row>
    <row r="37" spans="1:9" ht="18">
      <c r="A37" s="114" t="s">
        <v>101</v>
      </c>
      <c r="B37" s="98"/>
      <c r="C37" s="294">
        <f>+D37*2</f>
        <v>172.08</v>
      </c>
      <c r="D37" s="112">
        <f>'GDF 1'!D37</f>
        <v>86.04</v>
      </c>
      <c r="E37" s="9">
        <f>E$23</f>
        <v>3.25</v>
      </c>
      <c r="F37" s="9">
        <f>F$23</f>
        <v>3.25</v>
      </c>
      <c r="G37" s="9"/>
      <c r="H37" s="9"/>
      <c r="I37" s="10"/>
    </row>
    <row r="38" spans="1:9" ht="18">
      <c r="A38" s="114" t="s">
        <v>102</v>
      </c>
      <c r="B38" s="98"/>
      <c r="C38" s="294">
        <f aca="true" t="shared" si="1" ref="C38:C47">+D38*2</f>
        <v>215.12</v>
      </c>
      <c r="D38" s="112">
        <f>'GDF 1'!D38</f>
        <v>107.56</v>
      </c>
      <c r="E38" s="9"/>
      <c r="F38" s="9"/>
      <c r="G38" s="9">
        <f>G$24</f>
        <v>3.25</v>
      </c>
      <c r="H38" s="9"/>
      <c r="I38" s="10"/>
    </row>
    <row r="39" spans="1:9" ht="18">
      <c r="A39" s="114" t="s">
        <v>103</v>
      </c>
      <c r="B39" s="98"/>
      <c r="C39" s="294">
        <f t="shared" si="1"/>
        <v>96.8</v>
      </c>
      <c r="D39" s="112">
        <f>'GDF 1'!D39</f>
        <v>48.4</v>
      </c>
      <c r="E39" s="9"/>
      <c r="F39" s="9"/>
      <c r="G39" s="9"/>
      <c r="H39" s="9">
        <f>H$25</f>
        <v>3.25</v>
      </c>
      <c r="I39" s="10"/>
    </row>
    <row r="40" spans="1:9" ht="18">
      <c r="A40" s="114" t="s">
        <v>104</v>
      </c>
      <c r="B40" s="98"/>
      <c r="C40" s="294">
        <f t="shared" si="1"/>
        <v>107.56</v>
      </c>
      <c r="D40" s="112">
        <f>'GDF 1'!D40</f>
        <v>53.78</v>
      </c>
      <c r="E40" s="9"/>
      <c r="F40" s="9"/>
      <c r="G40" s="9"/>
      <c r="H40" s="9"/>
      <c r="I40" s="10">
        <f>I$26</f>
        <v>3.25</v>
      </c>
    </row>
    <row r="41" spans="1:9" ht="18">
      <c r="A41" s="114" t="s">
        <v>105</v>
      </c>
      <c r="B41" s="68"/>
      <c r="C41" s="294">
        <f t="shared" si="1"/>
        <v>344.16</v>
      </c>
      <c r="D41" s="112">
        <f>'GDF 1'!D41</f>
        <v>172.08</v>
      </c>
      <c r="E41" s="9">
        <f>E$23</f>
        <v>3.25</v>
      </c>
      <c r="F41" s="9">
        <f>F$23</f>
        <v>3.25</v>
      </c>
      <c r="G41" s="9"/>
      <c r="H41" s="9"/>
      <c r="I41" s="10"/>
    </row>
    <row r="42" spans="1:9" ht="18">
      <c r="A42" s="114" t="s">
        <v>106</v>
      </c>
      <c r="B42" s="68"/>
      <c r="C42" s="294">
        <f t="shared" si="1"/>
        <v>430.24</v>
      </c>
      <c r="D42" s="112">
        <f>'GDF 1'!D42</f>
        <v>215.12</v>
      </c>
      <c r="E42" s="9"/>
      <c r="F42" s="9"/>
      <c r="G42" s="9">
        <f>G$24</f>
        <v>3.25</v>
      </c>
      <c r="H42" s="9"/>
      <c r="I42" s="10"/>
    </row>
    <row r="43" spans="1:9" ht="18">
      <c r="A43" s="114" t="s">
        <v>107</v>
      </c>
      <c r="B43" s="68"/>
      <c r="C43" s="294">
        <f t="shared" si="1"/>
        <v>193.6</v>
      </c>
      <c r="D43" s="112">
        <f>'GDF 1'!D43</f>
        <v>96.8</v>
      </c>
      <c r="E43" s="9"/>
      <c r="F43" s="9"/>
      <c r="G43" s="9"/>
      <c r="H43" s="9">
        <f>H$25</f>
        <v>3.25</v>
      </c>
      <c r="I43" s="10"/>
    </row>
    <row r="44" spans="1:9" ht="18">
      <c r="A44" s="114" t="s">
        <v>108</v>
      </c>
      <c r="B44" s="68"/>
      <c r="C44" s="294">
        <f t="shared" si="1"/>
        <v>215.12</v>
      </c>
      <c r="D44" s="112">
        <f>'GDF 1'!D44</f>
        <v>107.56</v>
      </c>
      <c r="E44" s="9"/>
      <c r="F44" s="9"/>
      <c r="G44" s="9"/>
      <c r="H44" s="9"/>
      <c r="I44" s="10">
        <f>I$26</f>
        <v>3.25</v>
      </c>
    </row>
    <row r="45" spans="1:9" ht="18">
      <c r="A45" s="114" t="s">
        <v>114</v>
      </c>
      <c r="B45" s="98"/>
      <c r="C45" s="294">
        <f t="shared" si="1"/>
        <v>3011.56</v>
      </c>
      <c r="D45" s="112">
        <f>'GDF 1'!D45</f>
        <v>1505.78</v>
      </c>
      <c r="E45" s="9"/>
      <c r="F45" s="9"/>
      <c r="G45" s="9"/>
      <c r="H45" s="9">
        <v>1</v>
      </c>
      <c r="I45" s="10"/>
    </row>
    <row r="46" spans="1:9" ht="18">
      <c r="A46" s="114" t="s">
        <v>115</v>
      </c>
      <c r="B46" s="98"/>
      <c r="C46" s="294">
        <f t="shared" si="1"/>
        <v>2581.34</v>
      </c>
      <c r="D46" s="112">
        <f>'GDF 1'!D46</f>
        <v>1290.67</v>
      </c>
      <c r="E46" s="9"/>
      <c r="F46" s="9"/>
      <c r="G46" s="9"/>
      <c r="H46" s="9"/>
      <c r="I46" s="10">
        <v>1</v>
      </c>
    </row>
    <row r="47" spans="1:9" ht="18">
      <c r="A47" s="116" t="s">
        <v>116</v>
      </c>
      <c r="B47" s="117"/>
      <c r="C47" s="294">
        <f t="shared" si="1"/>
        <v>3012</v>
      </c>
      <c r="D47" s="112">
        <f>'GDF 1'!D47</f>
        <v>1506</v>
      </c>
      <c r="E47" s="11">
        <v>1</v>
      </c>
      <c r="F47" s="11">
        <v>1</v>
      </c>
      <c r="G47" s="11">
        <v>1</v>
      </c>
      <c r="H47" s="11"/>
      <c r="I47" s="12"/>
    </row>
    <row r="48" spans="1:9" ht="18.75" thickBot="1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9.5" thickBot="1" thickTop="1">
      <c r="A49" s="83" t="s">
        <v>117</v>
      </c>
      <c r="B49" s="68"/>
      <c r="C49" s="115"/>
      <c r="D49" s="100"/>
      <c r="E49" s="118">
        <f>+$C$23*E23+$C$24*E24+$C$25*E25+$C$26*E26+$C$27*E27+$C$28*E28+$C$29*E29+$C$30*E30+$C$32*E32+$C$33*E33+$C$35*E35+$C$37*E37+$C$38*E38+$C$39*E39+$C$40*E40+$C$41*E41+$C$42*E42+$C$43*E43+$C$44*E44+$C$45*E45+$C$46*E46+$C$47*E47</f>
        <v>14080.695000000002</v>
      </c>
      <c r="F49" s="118">
        <f>+$C$23*F23+$C$24*F24+$C$25*F25+$C$26*F26+$C$27*F27+$C$28*F28+$C$29*F29+$C$30*F30+$C$32*F32+$C$33*F33+$C$35*F35+$C$37*F37+$C$38*F38+$C$39*F39+$C$40*F40+$C$41*F41+$C$42*F42+$C$43*F43+$C$44*F44+$C$45*F45+$C$46*F46+$C$47*F47</f>
        <v>14080.695000000002</v>
      </c>
      <c r="G49" s="118">
        <f>+$C$23*G23+$C$24*G24+$C$25*G25+$C$26*G26+$C$27*G27+$C$28*G28+$C$29*G29+$C$30*G30+$C$32*G32+$C$33*G33+$C$35*G35+$C$37*G37+$C$38*G38+$C$39*G39+$C$40*G40+$C$41*G41+$C$42*G42+$C$43*G43+$C$44*G44+$C$45*G45+$C$46*G46+$C$47*G47</f>
        <v>14881.56</v>
      </c>
      <c r="H49" s="118">
        <f>+$C$23*H23+$C$24*H24+$C$25*H25+$C$26*H26+$C$27*H27+$C$28*H28+$C$29*H29+$C$30*H30+$C$32*H32+$C$33*H33+$C$35*H35+$C$37*H37+$C$38*H38+$C$39*H39+$C$40*H40+$C$41*H41+$C$42*H42+$C$43*H43+$C$44*H44+$C$45*H45+$C$46*H46+$C$47*H47</f>
        <v>13434.415</v>
      </c>
      <c r="I49" s="118">
        <f>+$C$23*I23+$C$24*I24+$C$25*I25+$C$26*I26+$C$27*I27+$C$28*I28+$C$29*I29+$C$30*I30+$C$32*I32+$C$33*I33+$C$35*I35+$C$37*I37+$C$38*I38+$C$39*I39+$C$40*I40+$C$41*I41+$C$42*I42+$C$43*I43+$C$44*I44+$C$45*I45+$C$46*I46+$C$47*I47</f>
        <v>14077.1775</v>
      </c>
    </row>
    <row r="50" spans="1:9" ht="18.75" thickTop="1">
      <c r="A50" s="114" t="s">
        <v>118</v>
      </c>
      <c r="B50" s="68"/>
      <c r="C50" s="115"/>
      <c r="D50" s="100"/>
      <c r="E50" s="115">
        <v>929.63</v>
      </c>
      <c r="F50" s="115">
        <v>929.63</v>
      </c>
      <c r="G50" s="115">
        <v>1101.1325</v>
      </c>
      <c r="H50" s="115">
        <v>835.9975</v>
      </c>
      <c r="I50" s="73">
        <v>905.32</v>
      </c>
    </row>
    <row r="51" spans="1:9" ht="18">
      <c r="A51" s="114" t="s">
        <v>119</v>
      </c>
      <c r="B51" s="68"/>
      <c r="C51" s="115"/>
      <c r="D51" s="100"/>
      <c r="E51" s="115">
        <v>1800.175</v>
      </c>
      <c r="F51" s="115">
        <v>1800.175</v>
      </c>
      <c r="G51" s="115">
        <v>2219.7175</v>
      </c>
      <c r="H51" s="115">
        <v>1614.9575</v>
      </c>
      <c r="I51" s="73">
        <v>1066.1625</v>
      </c>
    </row>
    <row r="52" spans="1:9" ht="18">
      <c r="A52" s="114" t="s">
        <v>120</v>
      </c>
      <c r="B52" s="68"/>
      <c r="C52" s="115"/>
      <c r="D52" s="100"/>
      <c r="E52" s="74">
        <f>E49-E50-E51</f>
        <v>11350.890000000003</v>
      </c>
      <c r="F52" s="74">
        <f>F49-F50-F51</f>
        <v>11350.890000000003</v>
      </c>
      <c r="G52" s="74">
        <f>G49-G50-G51</f>
        <v>11560.71</v>
      </c>
      <c r="H52" s="74">
        <f>H49-H50-H51</f>
        <v>10983.460000000001</v>
      </c>
      <c r="I52" s="75">
        <f>I49-I50-I51</f>
        <v>12105.695</v>
      </c>
    </row>
    <row r="53" spans="1:9" ht="18">
      <c r="A53" s="114" t="s">
        <v>121</v>
      </c>
      <c r="B53" s="68"/>
      <c r="C53" s="115"/>
      <c r="D53" s="100"/>
      <c r="E53" s="115">
        <f>E50*$C$113</f>
        <v>373.8179848942595</v>
      </c>
      <c r="F53" s="115">
        <f>F50*$C$113</f>
        <v>373.8179848942595</v>
      </c>
      <c r="G53" s="115">
        <f>G50*$C$113</f>
        <v>442.78167900302077</v>
      </c>
      <c r="H53" s="115">
        <f>H50*$C$113</f>
        <v>336.16697054380637</v>
      </c>
      <c r="I53" s="73">
        <f>I50*$C$113</f>
        <v>364.04257401812663</v>
      </c>
    </row>
    <row r="54" spans="1:9" ht="18">
      <c r="A54" s="114" t="s">
        <v>122</v>
      </c>
      <c r="B54" s="68"/>
      <c r="C54" s="115"/>
      <c r="D54" s="100"/>
      <c r="E54" s="115">
        <f>E51*$C$112</f>
        <v>369.76584542351964</v>
      </c>
      <c r="F54" s="115">
        <f>F51*$C$112</f>
        <v>369.76584542351964</v>
      </c>
      <c r="G54" s="115">
        <f>G51*$C$112</f>
        <v>455.9421822816568</v>
      </c>
      <c r="H54" s="115">
        <f>H51*$C$112</f>
        <v>331.7211522827246</v>
      </c>
      <c r="I54" s="73">
        <f>I51*$C$112</f>
        <v>218.9956410745362</v>
      </c>
    </row>
    <row r="55" spans="1:9" ht="18">
      <c r="A55" s="114" t="s">
        <v>123</v>
      </c>
      <c r="B55" s="68"/>
      <c r="C55" s="115"/>
      <c r="D55" s="100"/>
      <c r="E55" s="76">
        <f>E52*$C$111</f>
        <v>1847.305075317952</v>
      </c>
      <c r="F55" s="77">
        <f>F52*$C$111</f>
        <v>1847.305075317952</v>
      </c>
      <c r="G55" s="77">
        <f>G52*$C$111</f>
        <v>1881.4523140722</v>
      </c>
      <c r="H55" s="77">
        <f>H52*$C$111</f>
        <v>1787.5075348762705</v>
      </c>
      <c r="I55" s="51">
        <f>I52*$C$111</f>
        <v>1970.1461131022456</v>
      </c>
    </row>
    <row r="56" spans="1:9" ht="18">
      <c r="A56" s="86" t="s">
        <v>124</v>
      </c>
      <c r="B56" s="52"/>
      <c r="C56" s="74"/>
      <c r="D56" s="53"/>
      <c r="E56" s="54">
        <f>SUM(E53:E55)</f>
        <v>2590.888905635731</v>
      </c>
      <c r="F56" s="55">
        <f>SUM(F53:F55)</f>
        <v>2590.888905635731</v>
      </c>
      <c r="G56" s="55">
        <f>SUM(G53:G55)</f>
        <v>2780.1761753568776</v>
      </c>
      <c r="H56" s="55">
        <f>SUM(H53:H55)</f>
        <v>2455.395657702801</v>
      </c>
      <c r="I56" s="55">
        <f>SUM(I53:I55)</f>
        <v>2553.1843281949086</v>
      </c>
    </row>
    <row r="57" spans="1:9" ht="18">
      <c r="A57" s="100"/>
      <c r="B57" s="68"/>
      <c r="C57" s="88"/>
      <c r="D57" s="100"/>
      <c r="E57" s="89" t="s">
        <v>97</v>
      </c>
      <c r="F57" s="90">
        <f>AVERAGE(E49:I49)</f>
        <v>14110.908500000001</v>
      </c>
      <c r="G57" s="91" t="s">
        <v>98</v>
      </c>
      <c r="H57" s="92"/>
      <c r="I57" s="62">
        <f>AVERAGE(E56:I56)</f>
        <v>2594.10679450521</v>
      </c>
    </row>
    <row r="58" spans="1:9" ht="18.75">
      <c r="A58" s="105" t="s">
        <v>125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126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127</v>
      </c>
      <c r="B60" s="98"/>
      <c r="C60" s="112">
        <f>'GDF 1'!C60</f>
        <v>54.20125</v>
      </c>
      <c r="D60" s="100"/>
      <c r="E60" s="13"/>
      <c r="F60" s="13"/>
      <c r="G60" s="13"/>
      <c r="H60" s="13">
        <f>$E$23</f>
        <v>3.25</v>
      </c>
      <c r="I60" s="10">
        <f>$E$23</f>
        <v>3.25</v>
      </c>
    </row>
    <row r="61" spans="1:9" ht="18">
      <c r="A61" s="114" t="s">
        <v>128</v>
      </c>
      <c r="B61" s="98"/>
      <c r="E61" s="14"/>
      <c r="F61" s="14"/>
      <c r="G61" s="14"/>
      <c r="H61" s="14"/>
      <c r="I61" s="15"/>
    </row>
    <row r="62" spans="1:9" ht="18">
      <c r="A62" s="114" t="s">
        <v>129</v>
      </c>
      <c r="B62" s="98"/>
      <c r="C62" s="115"/>
      <c r="D62" s="100"/>
      <c r="E62" s="13"/>
      <c r="F62" s="13"/>
      <c r="G62" s="13"/>
      <c r="H62" s="13"/>
      <c r="I62" s="10"/>
    </row>
    <row r="63" spans="1:9" ht="18">
      <c r="A63" s="111" t="s">
        <v>130</v>
      </c>
      <c r="B63" s="98"/>
      <c r="C63" s="112">
        <f>'GDF 1'!C63</f>
        <v>200</v>
      </c>
      <c r="D63" s="100"/>
      <c r="E63" s="8">
        <f>Sum!$E$15</f>
        <v>3</v>
      </c>
      <c r="F63" s="13">
        <f>$E$63</f>
        <v>3</v>
      </c>
      <c r="G63" s="13">
        <f>$E$63</f>
        <v>3</v>
      </c>
      <c r="H63" s="13"/>
      <c r="I63" s="10"/>
    </row>
    <row r="64" spans="1:9" ht="18">
      <c r="A64" s="111" t="s">
        <v>131</v>
      </c>
      <c r="B64" s="98"/>
      <c r="C64" s="112"/>
      <c r="D64" s="100"/>
      <c r="E64" s="13"/>
      <c r="F64" s="13"/>
      <c r="G64" s="13"/>
      <c r="H64" s="13"/>
      <c r="I64" s="10"/>
    </row>
    <row r="65" spans="1:9" ht="18">
      <c r="A65" s="114" t="s">
        <v>93</v>
      </c>
      <c r="B65" s="98"/>
      <c r="C65" s="115"/>
      <c r="D65" s="100"/>
      <c r="E65" s="13"/>
      <c r="F65" s="13"/>
      <c r="G65" s="13"/>
      <c r="H65" s="13"/>
      <c r="I65" s="10"/>
    </row>
    <row r="66" spans="1:9" ht="18">
      <c r="A66" s="111" t="s">
        <v>132</v>
      </c>
      <c r="B66" s="98"/>
      <c r="C66" s="112">
        <f>'GDF 1'!C66</f>
        <v>160</v>
      </c>
      <c r="D66" s="100"/>
      <c r="E66" s="13"/>
      <c r="F66" s="13"/>
      <c r="G66" s="13"/>
      <c r="H66" s="13">
        <f>$E$23</f>
        <v>3.25</v>
      </c>
      <c r="I66" s="10">
        <f>$E$23</f>
        <v>3.25</v>
      </c>
    </row>
    <row r="67" spans="1:9" ht="18">
      <c r="A67" s="42" t="s">
        <v>130</v>
      </c>
      <c r="B67" s="117"/>
      <c r="C67" s="112">
        <f>'GDF 1'!C67</f>
        <v>160</v>
      </c>
      <c r="D67" s="81"/>
      <c r="E67" s="13">
        <f>$E$63</f>
        <v>3</v>
      </c>
      <c r="F67" s="13">
        <f>$E$63</f>
        <v>3</v>
      </c>
      <c r="G67" s="13">
        <f>$E$63</f>
        <v>3</v>
      </c>
      <c r="H67" s="16"/>
      <c r="I67" s="12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133</v>
      </c>
      <c r="B69" s="68"/>
      <c r="C69" s="115"/>
      <c r="D69" s="100"/>
      <c r="E69" s="84">
        <v>1080</v>
      </c>
      <c r="F69" s="85">
        <v>1080</v>
      </c>
      <c r="G69" s="85">
        <v>1080</v>
      </c>
      <c r="H69" s="85">
        <v>696.1540625</v>
      </c>
      <c r="I69" s="85">
        <v>696.1540625</v>
      </c>
    </row>
    <row r="70" spans="1:9" ht="18">
      <c r="A70" s="114" t="s">
        <v>134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696.1540625</v>
      </c>
      <c r="I70" s="73">
        <v>696.1540625</v>
      </c>
    </row>
    <row r="71" spans="1:9" ht="18">
      <c r="A71" s="114" t="s">
        <v>135</v>
      </c>
      <c r="B71" s="68"/>
      <c r="C71" s="115"/>
      <c r="D71" s="100"/>
      <c r="E71" s="74">
        <v>1080</v>
      </c>
      <c r="F71" s="74">
        <v>1080</v>
      </c>
      <c r="G71" s="74">
        <v>1080</v>
      </c>
      <c r="H71" s="74">
        <v>0</v>
      </c>
      <c r="I71" s="75">
        <v>0</v>
      </c>
    </row>
    <row r="72" spans="1:9" ht="18">
      <c r="A72" s="114" t="s">
        <v>136</v>
      </c>
      <c r="B72" s="68"/>
      <c r="C72" s="115"/>
      <c r="D72" s="100"/>
      <c r="E72" s="115">
        <f>E70*$C113</f>
        <v>0</v>
      </c>
      <c r="F72" s="115">
        <f>F70*$C113</f>
        <v>0</v>
      </c>
      <c r="G72" s="115">
        <f>G70*$C113</f>
        <v>0</v>
      </c>
      <c r="H72" s="115">
        <f>H70*$C113</f>
        <v>279.93385413519616</v>
      </c>
      <c r="I72" s="73">
        <f>I70*$C113</f>
        <v>279.93385413519616</v>
      </c>
    </row>
    <row r="73" spans="1:9" ht="18">
      <c r="A73" s="114" t="s">
        <v>137</v>
      </c>
      <c r="B73" s="68"/>
      <c r="C73" s="115"/>
      <c r="D73" s="100"/>
      <c r="E73" s="115">
        <f>E71*$C112</f>
        <v>221.83793967664323</v>
      </c>
      <c r="F73" s="115">
        <f>F71*$C112</f>
        <v>221.83793967664323</v>
      </c>
      <c r="G73" s="115">
        <f>G71*$C112</f>
        <v>221.83793967664323</v>
      </c>
      <c r="H73" s="115">
        <f>H71*$C112</f>
        <v>0</v>
      </c>
      <c r="I73" s="73">
        <f>I71*$C112</f>
        <v>0</v>
      </c>
    </row>
    <row r="74" spans="1:9" ht="18">
      <c r="A74" s="86" t="s">
        <v>138</v>
      </c>
      <c r="B74" s="47"/>
      <c r="C74" s="74"/>
      <c r="D74" s="53"/>
      <c r="E74" s="48">
        <f>SUM(E72:E73)</f>
        <v>221.83793967664323</v>
      </c>
      <c r="F74" s="49">
        <f>SUM(F72:F73)</f>
        <v>221.83793967664323</v>
      </c>
      <c r="G74" s="49">
        <f>SUM(G72:G73)</f>
        <v>221.83793967664323</v>
      </c>
      <c r="H74" s="49">
        <f>SUM(H72:H73)</f>
        <v>279.93385413519616</v>
      </c>
      <c r="I74" s="49">
        <f>SUM(I72:I73)</f>
        <v>279.93385413519616</v>
      </c>
    </row>
    <row r="75" spans="1:9" ht="18">
      <c r="A75" s="100"/>
      <c r="B75" s="98"/>
      <c r="C75" s="88"/>
      <c r="D75" s="100"/>
      <c r="E75" s="89" t="s">
        <v>97</v>
      </c>
      <c r="F75" s="90">
        <f>AVERAGE(E69:I69)</f>
        <v>926.4616249999999</v>
      </c>
      <c r="G75" s="91" t="s">
        <v>98</v>
      </c>
      <c r="H75" s="92"/>
      <c r="I75" s="62">
        <f>AVERAGE(E74:I74)</f>
        <v>245.0763054600644</v>
      </c>
    </row>
    <row r="76" spans="1:9" ht="18.75">
      <c r="A76" s="105" t="s">
        <v>139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140</v>
      </c>
      <c r="B77" s="107"/>
      <c r="C77" s="64">
        <f>'GDF 1'!C77</f>
        <v>54.05375</v>
      </c>
      <c r="D77" s="109"/>
      <c r="E77" s="17">
        <f>$E$23</f>
        <v>3.25</v>
      </c>
      <c r="F77" s="17">
        <f>$E$23</f>
        <v>3.25</v>
      </c>
      <c r="G77" s="17">
        <f>$E$23</f>
        <v>3.25</v>
      </c>
      <c r="H77" s="17">
        <f>$E$23</f>
        <v>3.25</v>
      </c>
      <c r="I77" s="18">
        <f>$E$23</f>
        <v>3.25</v>
      </c>
    </row>
    <row r="78" spans="1:9" ht="18">
      <c r="A78" s="42" t="s">
        <v>141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142</v>
      </c>
      <c r="B80" s="68"/>
      <c r="C80" s="112"/>
      <c r="D80" s="100"/>
      <c r="E80" s="84">
        <v>175.6746875</v>
      </c>
      <c r="F80" s="85">
        <v>175.6746875</v>
      </c>
      <c r="G80" s="85">
        <v>175.6746875</v>
      </c>
      <c r="H80" s="85">
        <v>175.6746875</v>
      </c>
      <c r="I80" s="85">
        <v>175.6746875</v>
      </c>
    </row>
    <row r="81" spans="1:9" ht="18">
      <c r="A81" s="86" t="s">
        <v>143</v>
      </c>
      <c r="B81" s="47"/>
      <c r="C81" s="27"/>
      <c r="D81" s="53"/>
      <c r="E81" s="48">
        <f>E80*$C113</f>
        <v>70.64139246601204</v>
      </c>
      <c r="F81" s="49">
        <f>F80*$C113</f>
        <v>70.64139246601204</v>
      </c>
      <c r="G81" s="49">
        <f>G80*$C113</f>
        <v>70.64139246601204</v>
      </c>
      <c r="H81" s="49">
        <f>H80*$C113</f>
        <v>70.64139246601204</v>
      </c>
      <c r="I81" s="49">
        <f>I80*$C113</f>
        <v>70.64139246601204</v>
      </c>
    </row>
    <row r="82" spans="1:9" ht="18">
      <c r="A82" s="100"/>
      <c r="B82" s="98"/>
      <c r="C82" s="88"/>
      <c r="D82" s="100"/>
      <c r="E82" s="89" t="s">
        <v>97</v>
      </c>
      <c r="F82" s="90">
        <f>AVERAGE(E80:I80)</f>
        <v>175.6746875</v>
      </c>
      <c r="G82" s="91" t="s">
        <v>98</v>
      </c>
      <c r="H82" s="92"/>
      <c r="I82" s="62">
        <f>AVERAGE(E81:I81)</f>
        <v>70.64139246601204</v>
      </c>
    </row>
    <row r="83" spans="1:9" ht="18.75">
      <c r="A83" s="105" t="s">
        <v>144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140</v>
      </c>
      <c r="B84" s="107"/>
      <c r="C84" s="64">
        <f>'GDF 1'!C84</f>
        <v>54.05375</v>
      </c>
      <c r="D84" s="109"/>
      <c r="E84" s="17">
        <f>$E$23</f>
        <v>3.25</v>
      </c>
      <c r="F84" s="17">
        <f>$E$23</f>
        <v>3.25</v>
      </c>
      <c r="G84" s="17">
        <f>$E$23</f>
        <v>3.25</v>
      </c>
      <c r="H84" s="17">
        <f>$E$23</f>
        <v>3.25</v>
      </c>
      <c r="I84" s="18">
        <f>$E$23</f>
        <v>3.25</v>
      </c>
    </row>
    <row r="85" spans="1:9" ht="18">
      <c r="A85" s="42" t="s">
        <v>141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145</v>
      </c>
      <c r="B87" s="68"/>
      <c r="C87" s="115"/>
      <c r="D87" s="100"/>
      <c r="E87" s="84">
        <v>175.6746875</v>
      </c>
      <c r="F87" s="85">
        <v>175.6746875</v>
      </c>
      <c r="G87" s="85">
        <v>175.6746875</v>
      </c>
      <c r="H87" s="85">
        <v>175.6746875</v>
      </c>
      <c r="I87" s="85">
        <v>175.6746875</v>
      </c>
    </row>
    <row r="88" spans="1:9" ht="18">
      <c r="A88" s="86" t="s">
        <v>146</v>
      </c>
      <c r="B88" s="52"/>
      <c r="C88" s="74"/>
      <c r="D88" s="53"/>
      <c r="E88" s="48">
        <f>E87*$C113</f>
        <v>70.64139246601204</v>
      </c>
      <c r="F88" s="49">
        <f>F87*$C113</f>
        <v>70.64139246601204</v>
      </c>
      <c r="G88" s="49">
        <f>G87*$C113</f>
        <v>70.64139246601204</v>
      </c>
      <c r="H88" s="49">
        <f>H87*$C113</f>
        <v>70.64139246601204</v>
      </c>
      <c r="I88" s="49">
        <f>I87*$C113</f>
        <v>70.64139246601204</v>
      </c>
    </row>
    <row r="89" spans="1:9" ht="18">
      <c r="A89" s="100"/>
      <c r="B89" s="68"/>
      <c r="C89" s="88"/>
      <c r="D89" s="100"/>
      <c r="E89" s="89" t="s">
        <v>97</v>
      </c>
      <c r="F89" s="90">
        <f>AVERAGE(E87:I87)</f>
        <v>175.6746875</v>
      </c>
      <c r="G89" s="91" t="s">
        <v>98</v>
      </c>
      <c r="H89" s="92"/>
      <c r="I89" s="62">
        <f>AVERAGE(E88:I88)</f>
        <v>70.64139246601204</v>
      </c>
    </row>
    <row r="90" spans="1:9" ht="18.75">
      <c r="A90" s="105" t="s">
        <v>147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126</v>
      </c>
      <c r="B91" s="107"/>
      <c r="C91" s="108"/>
      <c r="D91" s="292" t="s">
        <v>263</v>
      </c>
      <c r="E91" s="24"/>
      <c r="F91" s="24"/>
      <c r="G91" s="24"/>
      <c r="H91" s="24"/>
      <c r="I91" s="25"/>
    </row>
    <row r="92" spans="1:9" ht="18">
      <c r="A92" s="111" t="s">
        <v>148</v>
      </c>
      <c r="B92" s="98"/>
      <c r="C92" s="294">
        <f>'GDF 1'!C92</f>
        <v>595</v>
      </c>
      <c r="D92" s="296">
        <v>192</v>
      </c>
      <c r="E92" s="301">
        <v>1</v>
      </c>
      <c r="F92" s="301">
        <v>1</v>
      </c>
      <c r="G92" s="301">
        <v>1</v>
      </c>
      <c r="H92" s="301">
        <v>1</v>
      </c>
      <c r="I92" s="301">
        <v>1</v>
      </c>
    </row>
    <row r="93" spans="1:9" ht="18">
      <c r="A93" s="111" t="s">
        <v>149</v>
      </c>
      <c r="B93" s="98"/>
      <c r="C93" s="294">
        <f>'GDF 1'!C93</f>
        <v>885</v>
      </c>
      <c r="D93" s="296">
        <v>245</v>
      </c>
      <c r="E93" s="301">
        <v>1.5</v>
      </c>
      <c r="F93" s="301">
        <v>1.5</v>
      </c>
      <c r="G93" s="301">
        <v>1.5</v>
      </c>
      <c r="H93" s="301">
        <v>1.5</v>
      </c>
      <c r="I93" s="301">
        <v>1.5</v>
      </c>
    </row>
    <row r="94" spans="1:9" ht="18">
      <c r="A94" s="111" t="s">
        <v>150</v>
      </c>
      <c r="B94" s="98"/>
      <c r="C94" s="294">
        <f>'GDF 1'!C94</f>
        <v>3995</v>
      </c>
      <c r="D94" s="296">
        <v>1197</v>
      </c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331</v>
      </c>
      <c r="B95" s="98"/>
      <c r="C95" s="285">
        <v>670</v>
      </c>
      <c r="D95" s="296"/>
      <c r="E95" s="56">
        <v>1</v>
      </c>
      <c r="F95" s="56">
        <v>1</v>
      </c>
      <c r="G95" s="56">
        <v>1</v>
      </c>
      <c r="H95" s="56">
        <v>1</v>
      </c>
      <c r="I95" s="57">
        <v>1</v>
      </c>
    </row>
    <row r="96" spans="1:9" ht="18">
      <c r="A96" s="111" t="s">
        <v>332</v>
      </c>
      <c r="B96" s="98"/>
      <c r="C96" s="285">
        <v>1095</v>
      </c>
      <c r="D96" s="296"/>
      <c r="E96" s="98">
        <f>Sum!$D$13</f>
        <v>2.5</v>
      </c>
      <c r="F96" s="98">
        <f>$E$8</f>
        <v>2.5</v>
      </c>
      <c r="G96" s="98">
        <f>F96</f>
        <v>2.5</v>
      </c>
      <c r="H96" s="98">
        <f>G96</f>
        <v>2.5</v>
      </c>
      <c r="I96" s="113">
        <f>$E$8</f>
        <v>2.5</v>
      </c>
    </row>
    <row r="97" spans="1:9" ht="18">
      <c r="A97" s="307" t="s">
        <v>284</v>
      </c>
      <c r="B97" s="308"/>
      <c r="C97" s="294"/>
      <c r="D97" s="309"/>
      <c r="E97" s="301"/>
      <c r="F97" s="56"/>
      <c r="G97" s="56"/>
      <c r="H97" s="56"/>
      <c r="I97" s="57"/>
    </row>
    <row r="98" spans="1:9" ht="18">
      <c r="A98" s="42"/>
      <c r="B98" s="117"/>
      <c r="C98" s="286">
        <f>300+(200*E98)</f>
        <v>600</v>
      </c>
      <c r="D98" s="297">
        <v>1280</v>
      </c>
      <c r="E98" s="41">
        <f>1*(E63/2)</f>
        <v>1.5</v>
      </c>
      <c r="F98" s="43">
        <f>$E$98</f>
        <v>1.5</v>
      </c>
      <c r="G98" s="43">
        <f>$E$98</f>
        <v>1.5</v>
      </c>
      <c r="H98" s="43">
        <f>$E$98</f>
        <v>1.5</v>
      </c>
      <c r="I98" s="44">
        <f>$E$98</f>
        <v>1.5</v>
      </c>
    </row>
    <row r="99" spans="1:9" ht="18">
      <c r="A99" s="114"/>
      <c r="B99" s="98"/>
      <c r="C99" s="115"/>
      <c r="D99" s="100"/>
      <c r="E99" s="68"/>
      <c r="F99" s="68"/>
      <c r="G99" s="68"/>
      <c r="H99" s="68"/>
      <c r="I99" s="28"/>
    </row>
    <row r="100" spans="1:9" ht="18">
      <c r="A100" s="83" t="s">
        <v>152</v>
      </c>
      <c r="B100" s="98"/>
      <c r="C100" s="115"/>
      <c r="D100" s="100"/>
      <c r="E100" s="84">
        <f>+E92*$C$92+E93*$C$93+E94*$C$94+E95*$C$95+E96*$C$96+$C$98</f>
        <v>9925</v>
      </c>
      <c r="F100" s="84">
        <f>+F92*$C$92+F93*$C$93+F94*$C$94+F95*$C$95+F96*$C$96+$C$98</f>
        <v>9925</v>
      </c>
      <c r="G100" s="84">
        <f>+G92*$C$92+G93*$C$93+G94*$C$94+G95*$C$95+G96*$C$96+$C$98</f>
        <v>9925</v>
      </c>
      <c r="H100" s="84">
        <f>+H92*$C$92+H93*$C$93+H94*$C$94+H95*$C$95+H96*$C$96+$C$98</f>
        <v>9925</v>
      </c>
      <c r="I100" s="84">
        <f>+I92*$C$92+I93*$C$93+I94*$C$94+I95*$C$95+I96*$C$96+$C$98</f>
        <v>9925</v>
      </c>
    </row>
    <row r="101" spans="1:9" ht="19.5" thickBot="1" thickTop="1">
      <c r="A101" s="86" t="s">
        <v>153</v>
      </c>
      <c r="B101" s="52"/>
      <c r="C101" s="74"/>
      <c r="D101" s="53"/>
      <c r="E101" s="48">
        <f>E100*$C111</f>
        <v>1615.2480442089272</v>
      </c>
      <c r="F101" s="49">
        <f>F100*$C111</f>
        <v>1615.2480442089272</v>
      </c>
      <c r="G101" s="49">
        <f>G100*$C111</f>
        <v>1615.2480442089272</v>
      </c>
      <c r="H101" s="49">
        <f>H100*$C111</f>
        <v>1615.2480442089272</v>
      </c>
      <c r="I101" s="49">
        <f>I100*$C111</f>
        <v>1615.2480442089272</v>
      </c>
    </row>
    <row r="102" spans="1:9" ht="19.5" thickBot="1" thickTop="1">
      <c r="A102" s="288" t="s">
        <v>259</v>
      </c>
      <c r="B102" s="298"/>
      <c r="C102" s="289"/>
      <c r="D102" s="290"/>
      <c r="E102" s="291">
        <v>720</v>
      </c>
      <c r="F102" s="291">
        <v>720</v>
      </c>
      <c r="G102" s="291">
        <v>720</v>
      </c>
      <c r="H102" s="291">
        <v>720</v>
      </c>
      <c r="I102" s="291">
        <v>720</v>
      </c>
    </row>
    <row r="103" spans="1:9" ht="19.5" thickBot="1" thickTop="1">
      <c r="A103" s="288" t="s">
        <v>343</v>
      </c>
      <c r="C103" s="289"/>
      <c r="D103" s="290"/>
      <c r="E103" s="291">
        <v>500</v>
      </c>
      <c r="F103" s="291">
        <v>500</v>
      </c>
      <c r="G103" s="291">
        <v>500</v>
      </c>
      <c r="H103" s="291">
        <v>0</v>
      </c>
      <c r="I103" s="291">
        <v>0</v>
      </c>
    </row>
    <row r="104" spans="1:9" ht="19.5" thickBot="1" thickTop="1">
      <c r="A104" s="100"/>
      <c r="B104" s="98"/>
      <c r="C104" s="115"/>
      <c r="D104" s="100"/>
      <c r="E104" s="89" t="s">
        <v>97</v>
      </c>
      <c r="F104" s="90">
        <f>AVERAGE(E100:I100)</f>
        <v>9925</v>
      </c>
      <c r="G104" s="91" t="s">
        <v>98</v>
      </c>
      <c r="H104" s="92"/>
      <c r="I104" s="62">
        <f>AVERAGE(E101:I101)+E102+AVERAGE(E103:I103)</f>
        <v>2635.2480442089272</v>
      </c>
    </row>
    <row r="105" spans="1:9" ht="18">
      <c r="A105" s="29"/>
      <c r="B105" s="103"/>
      <c r="C105" s="30"/>
      <c r="D105" s="29"/>
      <c r="E105" s="31"/>
      <c r="F105" s="31"/>
      <c r="G105" s="31"/>
      <c r="H105" s="31"/>
      <c r="I105" s="31"/>
    </row>
    <row r="106" spans="2:9" ht="18"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32" t="s">
        <v>154</v>
      </c>
      <c r="B107" s="98"/>
      <c r="C107" s="88"/>
      <c r="D107" s="100"/>
      <c r="E107" s="84">
        <f>SUM(E18,E49,E69,E80,E87,E100)</f>
        <v>31395.544374999998</v>
      </c>
      <c r="F107" s="85">
        <f>SUM(F18,F49,F69,F80,F87,F100)</f>
        <v>31395.544374999998</v>
      </c>
      <c r="G107" s="85">
        <f>SUM(G18,G49,G69,G80,G87,G100)</f>
        <v>32196.409374999996</v>
      </c>
      <c r="H107" s="85">
        <f>SUM(H18,H49,H69,H80,H87,H100)</f>
        <v>30365.4184375</v>
      </c>
      <c r="I107" s="33">
        <f>SUM(I18,I49,I69,I80,I87,I100)</f>
        <v>31008.180937499998</v>
      </c>
    </row>
    <row r="108" spans="1:9" ht="18">
      <c r="A108" s="32" t="s">
        <v>155</v>
      </c>
      <c r="B108" s="98"/>
      <c r="C108" s="88"/>
      <c r="D108" s="100"/>
      <c r="E108" s="84">
        <f>SUM(E19,E56,E74,E81,E88,E101,E102,E103)</f>
        <v>7013.166344419325</v>
      </c>
      <c r="F108" s="84">
        <f>SUM(F19,F56,F74,F81,F88,F101,F102,F103)</f>
        <v>7013.166344419325</v>
      </c>
      <c r="G108" s="84">
        <f>SUM(G19,G56,G74,G81,G88,G101,G102,G103)</f>
        <v>7202.453614140471</v>
      </c>
      <c r="H108" s="84">
        <f>SUM(H19,H56,H74,H81,H88,H101,H102,H103)</f>
        <v>6435.769010944948</v>
      </c>
      <c r="I108" s="84">
        <f>SUM(I19,I56,I74,I81,I88,I101,I102,I103)</f>
        <v>6533.557681437055</v>
      </c>
    </row>
    <row r="109" spans="2:9" ht="18">
      <c r="B109" s="98"/>
      <c r="C109" s="99"/>
      <c r="D109" s="100"/>
      <c r="E109" s="98"/>
      <c r="F109" s="98"/>
      <c r="G109" s="98"/>
      <c r="H109" s="98"/>
      <c r="I109" s="98"/>
    </row>
    <row r="110" spans="1:9" ht="18">
      <c r="A110" s="97" t="s">
        <v>156</v>
      </c>
      <c r="B110" s="98"/>
      <c r="C110" s="99"/>
      <c r="D110" s="100"/>
      <c r="E110" s="98"/>
      <c r="F110" s="98"/>
      <c r="G110" s="98"/>
      <c r="H110" s="98"/>
      <c r="I110" s="98"/>
    </row>
    <row r="111" spans="1:9" ht="18">
      <c r="A111" s="97" t="s">
        <v>157</v>
      </c>
      <c r="B111" s="98"/>
      <c r="C111" s="34">
        <f>(0.1*(1+0.1)^10)/((1+0.1)^10-1)</f>
        <v>0.16274539488251155</v>
      </c>
      <c r="D111" s="100"/>
      <c r="E111" s="98"/>
      <c r="F111" s="35" t="s">
        <v>158</v>
      </c>
      <c r="G111" s="36"/>
      <c r="H111" s="37"/>
      <c r="I111" s="38">
        <f>AVERAGE(E107:I107)</f>
        <v>31272.219499999996</v>
      </c>
    </row>
    <row r="112" spans="1:9" ht="18">
      <c r="A112" s="97" t="s">
        <v>159</v>
      </c>
      <c r="B112" s="98"/>
      <c r="C112" s="34">
        <f>(0.1*(1+0.1)^7)/((1+0.1)^7-1)</f>
        <v>0.20540549970059557</v>
      </c>
      <c r="D112" s="100"/>
      <c r="E112" s="98"/>
      <c r="F112" s="35" t="s">
        <v>160</v>
      </c>
      <c r="G112" s="36"/>
      <c r="H112" s="37"/>
      <c r="I112" s="38">
        <f>AVERAGE(E108:I108)</f>
        <v>6839.622599072225</v>
      </c>
    </row>
    <row r="113" spans="1:9" ht="18">
      <c r="A113" s="97" t="s">
        <v>161</v>
      </c>
      <c r="B113" s="98"/>
      <c r="C113" s="34">
        <f>(0.1*(1+0.1)^3)/((1+0.1)^3-1)</f>
        <v>0.4021148036253773</v>
      </c>
      <c r="D113" s="100"/>
      <c r="E113" s="98"/>
      <c r="F113" s="98"/>
      <c r="G113" s="98"/>
      <c r="H113" s="98"/>
      <c r="I113" s="98"/>
    </row>
    <row r="114" spans="1:9" ht="18">
      <c r="A114" s="97" t="s">
        <v>162</v>
      </c>
      <c r="B114" s="98"/>
      <c r="C114" s="99"/>
      <c r="D114" s="100"/>
      <c r="E114" s="98"/>
      <c r="F114" s="98"/>
      <c r="G114" s="98"/>
      <c r="H114" s="98"/>
      <c r="I114" s="98"/>
    </row>
  </sheetData>
  <mergeCells count="1">
    <mergeCell ref="A17:B17"/>
  </mergeCells>
  <printOptions/>
  <pageMargins left="0.46" right="0.26" top="0.92" bottom="0.4" header="0.3" footer="0.21"/>
  <pageSetup horizontalDpi="600" verticalDpi="600" orientation="landscape" scale="85" r:id="rId1"/>
  <headerFooter alignWithMargins="0">
    <oddHeader>&amp;LEVR Technology Review&amp;RAppendix  4</oddHeader>
    <oddFooter>&amp;RPage  11</oddFooter>
  </headerFooter>
  <rowBreaks count="3" manualBreakCount="3">
    <brk id="33" max="255" man="1"/>
    <brk id="57" max="255" man="1"/>
    <brk id="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65" zoomScaleNormal="75" zoomScaleSheetLayoutView="65" workbookViewId="0" topLeftCell="A98">
      <selection activeCell="C100" sqref="C100"/>
    </sheetView>
  </sheetViews>
  <sheetFormatPr defaultColWidth="9.140625" defaultRowHeight="12.75"/>
  <cols>
    <col min="1" max="1" width="57.00390625" style="97" customWidth="1"/>
    <col min="2" max="2" width="11.28125" style="97" customWidth="1"/>
    <col min="3" max="3" width="10.421875" style="97" customWidth="1"/>
    <col min="4" max="4" width="10.28125" style="97" customWidth="1"/>
    <col min="5" max="5" width="13.8515625" style="97" customWidth="1"/>
    <col min="6" max="6" width="13.28125" style="97" customWidth="1"/>
    <col min="7" max="7" width="11.8515625" style="97" customWidth="1"/>
    <col min="8" max="8" width="12.140625" style="97" customWidth="1"/>
    <col min="9" max="9" width="12.281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164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78</v>
      </c>
      <c r="D4" s="100"/>
      <c r="E4" s="101" t="s">
        <v>79</v>
      </c>
      <c r="F4" s="101"/>
      <c r="G4" s="101"/>
      <c r="H4" s="101"/>
      <c r="I4" s="101"/>
    </row>
    <row r="5" spans="1:9" ht="18.75" thickBot="1">
      <c r="A5" s="103" t="s">
        <v>80</v>
      </c>
      <c r="B5" s="103"/>
      <c r="C5" s="104" t="s">
        <v>81</v>
      </c>
      <c r="D5" s="103"/>
      <c r="E5" s="103" t="s">
        <v>82</v>
      </c>
      <c r="F5" s="103" t="s">
        <v>83</v>
      </c>
      <c r="G5" s="103" t="s">
        <v>84</v>
      </c>
      <c r="H5" s="103" t="s">
        <v>85</v>
      </c>
      <c r="I5" s="103" t="s">
        <v>86</v>
      </c>
    </row>
    <row r="6" spans="1:9" ht="19.5" thickTop="1">
      <c r="A6" s="105" t="s">
        <v>87</v>
      </c>
      <c r="B6" s="98"/>
      <c r="C6" s="99"/>
      <c r="D6" s="342" t="s">
        <v>374</v>
      </c>
      <c r="E6" s="98"/>
      <c r="F6" s="98"/>
      <c r="G6" s="98"/>
      <c r="H6" s="98"/>
      <c r="I6" s="98"/>
    </row>
    <row r="7" spans="1:9" ht="18">
      <c r="A7" s="106" t="s">
        <v>88</v>
      </c>
      <c r="B7" s="107"/>
      <c r="C7" s="108"/>
      <c r="D7" s="343"/>
      <c r="E7" s="107"/>
      <c r="F7" s="107"/>
      <c r="G7" s="107"/>
      <c r="H7" s="107"/>
      <c r="I7" s="110"/>
    </row>
    <row r="8" spans="1:9" ht="18">
      <c r="A8" s="111" t="s">
        <v>89</v>
      </c>
      <c r="B8" s="98"/>
      <c r="C8" s="112">
        <v>65</v>
      </c>
      <c r="D8" s="345">
        <v>80</v>
      </c>
      <c r="E8" s="98">
        <f>Sum!$D$13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90</v>
      </c>
      <c r="B9" s="98"/>
      <c r="C9" s="112">
        <v>351</v>
      </c>
      <c r="D9" s="345">
        <v>390</v>
      </c>
      <c r="E9" s="344">
        <v>5</v>
      </c>
      <c r="F9" s="344">
        <v>5</v>
      </c>
      <c r="G9" s="344">
        <v>5</v>
      </c>
      <c r="H9" s="344">
        <v>5</v>
      </c>
      <c r="I9" s="344">
        <v>5</v>
      </c>
    </row>
    <row r="10" spans="1:9" ht="18">
      <c r="A10" s="111" t="s">
        <v>91</v>
      </c>
      <c r="B10" s="98"/>
      <c r="C10" s="112">
        <f>134+44</f>
        <v>178</v>
      </c>
      <c r="D10" s="345">
        <v>400</v>
      </c>
      <c r="E10" s="98">
        <f>$E$8</f>
        <v>2.5</v>
      </c>
      <c r="F10" s="98">
        <f>$E$8</f>
        <v>2.5</v>
      </c>
      <c r="G10" s="98">
        <f>$E$8</f>
        <v>2.5</v>
      </c>
      <c r="H10" s="98">
        <f>$E$8</f>
        <v>2.5</v>
      </c>
      <c r="I10" s="113">
        <f>$E$8</f>
        <v>2.5</v>
      </c>
    </row>
    <row r="11" spans="1:9" ht="18">
      <c r="A11" s="114" t="s">
        <v>92</v>
      </c>
      <c r="B11" s="98"/>
      <c r="C11" s="115">
        <v>55</v>
      </c>
      <c r="D11" s="345">
        <v>219</v>
      </c>
      <c r="E11" s="344">
        <v>5</v>
      </c>
      <c r="F11" s="344">
        <v>5</v>
      </c>
      <c r="G11" s="344">
        <v>5</v>
      </c>
      <c r="H11" s="344">
        <v>5</v>
      </c>
      <c r="I11" s="344">
        <v>5</v>
      </c>
    </row>
    <row r="12" spans="1:9" ht="18">
      <c r="A12" s="114" t="s">
        <v>93</v>
      </c>
      <c r="B12" s="98"/>
      <c r="C12" s="115"/>
      <c r="D12" s="345"/>
      <c r="E12" s="98"/>
      <c r="F12" s="98"/>
      <c r="G12" s="98"/>
      <c r="H12" s="98"/>
      <c r="I12" s="113"/>
    </row>
    <row r="13" spans="1:9" ht="18">
      <c r="A13" s="111" t="s">
        <v>94</v>
      </c>
      <c r="B13" s="98"/>
      <c r="C13" s="115">
        <f>(1*80)</f>
        <v>80</v>
      </c>
      <c r="D13" s="345">
        <v>16</v>
      </c>
      <c r="E13" s="98">
        <f aca="true" t="shared" si="0" ref="E13:I15">$E$8</f>
        <v>2.5</v>
      </c>
      <c r="F13" s="98">
        <f t="shared" si="0"/>
        <v>2.5</v>
      </c>
      <c r="G13" s="98">
        <f t="shared" si="0"/>
        <v>2.5</v>
      </c>
      <c r="H13" s="98">
        <f t="shared" si="0"/>
        <v>2.5</v>
      </c>
      <c r="I13" s="113">
        <f t="shared" si="0"/>
        <v>2.5</v>
      </c>
    </row>
    <row r="14" spans="1:9" ht="18">
      <c r="A14" s="111" t="s">
        <v>90</v>
      </c>
      <c r="B14" s="98"/>
      <c r="C14" s="115">
        <f>(2*80)</f>
        <v>160</v>
      </c>
      <c r="D14" s="345">
        <v>190</v>
      </c>
      <c r="E14" s="344">
        <v>5</v>
      </c>
      <c r="F14" s="344">
        <v>5</v>
      </c>
      <c r="G14" s="344">
        <v>5</v>
      </c>
      <c r="H14" s="344">
        <v>5</v>
      </c>
      <c r="I14" s="344">
        <v>5</v>
      </c>
    </row>
    <row r="15" spans="1:9" ht="18">
      <c r="A15" s="111" t="s">
        <v>91</v>
      </c>
      <c r="B15" s="98"/>
      <c r="C15" s="115">
        <f>(2*80)</f>
        <v>160</v>
      </c>
      <c r="D15" s="345">
        <v>155</v>
      </c>
      <c r="E15" s="98">
        <f t="shared" si="0"/>
        <v>2.5</v>
      </c>
      <c r="F15" s="98">
        <f t="shared" si="0"/>
        <v>2.5</v>
      </c>
      <c r="G15" s="98">
        <f t="shared" si="0"/>
        <v>2.5</v>
      </c>
      <c r="H15" s="98">
        <f t="shared" si="0"/>
        <v>2.5</v>
      </c>
      <c r="I15" s="113">
        <f t="shared" si="0"/>
        <v>2.5</v>
      </c>
    </row>
    <row r="16" spans="1:9" ht="18">
      <c r="A16" s="116" t="s">
        <v>92</v>
      </c>
      <c r="B16" s="117"/>
      <c r="C16" s="118">
        <f>(1*80)</f>
        <v>80</v>
      </c>
      <c r="D16" s="346">
        <v>41</v>
      </c>
      <c r="E16" s="344">
        <v>5</v>
      </c>
      <c r="F16" s="344">
        <v>5</v>
      </c>
      <c r="G16" s="344">
        <v>5</v>
      </c>
      <c r="H16" s="344">
        <v>5</v>
      </c>
      <c r="I16" s="344">
        <v>5</v>
      </c>
    </row>
    <row r="17" spans="1:9" ht="18.75" thickBot="1">
      <c r="A17" s="368" t="s">
        <v>375</v>
      </c>
      <c r="B17" s="369"/>
      <c r="C17" s="118"/>
      <c r="D17" s="346">
        <v>131</v>
      </c>
      <c r="E17" s="80"/>
      <c r="F17" s="80"/>
      <c r="G17" s="80"/>
      <c r="H17" s="80"/>
      <c r="I17" s="82"/>
    </row>
    <row r="18" spans="1:9" ht="19.5" thickBot="1" thickTop="1">
      <c r="A18" s="83" t="s">
        <v>95</v>
      </c>
      <c r="E18" s="347">
        <f>+E8*$D$8+E9*$D$9+E10*$D$10+E11*$D$11+E13*$D$13+E14*$D$14+E15*$D$15+E16*$D$16+$D$17</f>
        <v>5958.5</v>
      </c>
      <c r="F18" s="347">
        <f>+F8*$D$8+F9*$D$9+F10*$D$10+F11*$D$11+F13*$D$13+F14*$D$14+F15*$D$15+F16*$D$16+$D$17</f>
        <v>5958.5</v>
      </c>
      <c r="G18" s="347">
        <f>+G8*$D$8+G9*$D$9+G10*$D$10+G11*$D$11+G13*$D$13+G14*$D$14+G15*$D$15+G16*$D$16+$D$17</f>
        <v>5958.5</v>
      </c>
      <c r="H18" s="347">
        <f>+H8*$D$8+H9*$D$9+H10*$D$10+H11*$D$11+H13*$D$13+H14*$D$14+H15*$D$15+H16*$D$16+$D$17</f>
        <v>5958.5</v>
      </c>
      <c r="I18" s="347">
        <f>+I8*$D$8+I9*$D$9+I10*$D$10+I11*$D$11+I13*$D$13+I14*$D$14+I15*$D$15+I16*$D$16+$D$17</f>
        <v>5958.5</v>
      </c>
    </row>
    <row r="19" spans="1:9" ht="19.5" thickBot="1" thickTop="1">
      <c r="A19" s="86" t="s">
        <v>96</v>
      </c>
      <c r="B19" s="87"/>
      <c r="C19" s="87"/>
      <c r="D19" s="87"/>
      <c r="E19" s="347">
        <f>E18*$C$112</f>
        <v>1223.9086699659988</v>
      </c>
      <c r="F19" s="348">
        <f>F18*$C$112</f>
        <v>1223.9086699659988</v>
      </c>
      <c r="G19" s="348">
        <f>G18*$C$112</f>
        <v>1223.9086699659988</v>
      </c>
      <c r="H19" s="348">
        <f>H18*$C$112</f>
        <v>1223.9086699659988</v>
      </c>
      <c r="I19" s="348">
        <f>I18*$C$112</f>
        <v>1223.9086699659988</v>
      </c>
    </row>
    <row r="20" spans="1:9" ht="19.5" thickBot="1" thickTop="1">
      <c r="A20" s="100"/>
      <c r="B20" s="98"/>
      <c r="C20" s="88"/>
      <c r="D20" s="100"/>
      <c r="E20" s="349" t="s">
        <v>97</v>
      </c>
      <c r="F20" s="350">
        <f>AVERAGE(E18:I18)</f>
        <v>5958.5</v>
      </c>
      <c r="G20" s="351" t="s">
        <v>98</v>
      </c>
      <c r="H20" s="352"/>
      <c r="I20" s="353">
        <f>AVERAGE(E19:I19)</f>
        <v>1223.9086699659988</v>
      </c>
    </row>
    <row r="21" spans="1:9" ht="19.5" thickTop="1">
      <c r="A21" s="105" t="s">
        <v>99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100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101</v>
      </c>
      <c r="B23" s="98"/>
      <c r="C23" s="112">
        <f>'GDF 2'!C23</f>
        <v>200</v>
      </c>
      <c r="D23" s="100"/>
      <c r="E23" s="65">
        <f>Sum!$F$14</f>
        <v>6.5</v>
      </c>
      <c r="F23" s="66">
        <f>$E$23</f>
        <v>6.5</v>
      </c>
      <c r="G23" s="66"/>
      <c r="H23" s="66"/>
      <c r="I23" s="67"/>
    </row>
    <row r="24" spans="1:9" ht="18">
      <c r="A24" s="114" t="s">
        <v>102</v>
      </c>
      <c r="B24" s="98"/>
      <c r="C24" s="112">
        <f>'GDF 2'!C24</f>
        <v>231.25</v>
      </c>
      <c r="D24" s="100"/>
      <c r="E24" s="66"/>
      <c r="F24" s="66"/>
      <c r="G24" s="66">
        <f>$E$23</f>
        <v>6.5</v>
      </c>
      <c r="H24" s="66"/>
      <c r="I24" s="67"/>
    </row>
    <row r="25" spans="1:9" ht="18">
      <c r="A25" s="114" t="s">
        <v>103</v>
      </c>
      <c r="B25" s="98"/>
      <c r="C25" s="112">
        <f>'GDF 2'!C25</f>
        <v>208.83</v>
      </c>
      <c r="D25" s="100"/>
      <c r="E25" s="66"/>
      <c r="F25" s="66"/>
      <c r="G25" s="66"/>
      <c r="H25" s="66">
        <f>$E$23</f>
        <v>6.5</v>
      </c>
      <c r="I25" s="67"/>
    </row>
    <row r="26" spans="1:9" ht="18">
      <c r="A26" s="114" t="s">
        <v>104</v>
      </c>
      <c r="B26" s="98"/>
      <c r="C26" s="112">
        <f>'GDF 2'!C26</f>
        <v>224.78</v>
      </c>
      <c r="D26" s="100"/>
      <c r="E26" s="66"/>
      <c r="F26" s="66"/>
      <c r="G26" s="66"/>
      <c r="H26" s="66"/>
      <c r="I26" s="67">
        <f>$E$23</f>
        <v>6.5</v>
      </c>
    </row>
    <row r="27" spans="1:9" ht="18">
      <c r="A27" s="114" t="s">
        <v>105</v>
      </c>
      <c r="B27" s="98"/>
      <c r="C27" s="112">
        <f>'GDF 2'!C27</f>
        <v>381.82</v>
      </c>
      <c r="D27" s="100"/>
      <c r="E27" s="66">
        <f>E$23</f>
        <v>6.5</v>
      </c>
      <c r="F27" s="66">
        <f>F$23</f>
        <v>6.5</v>
      </c>
      <c r="G27" s="66"/>
      <c r="H27" s="66"/>
      <c r="I27" s="67"/>
    </row>
    <row r="28" spans="1:9" ht="18">
      <c r="A28" s="114" t="s">
        <v>106</v>
      </c>
      <c r="B28" s="98"/>
      <c r="C28" s="112">
        <f>'GDF 2'!C28</f>
        <v>467.87</v>
      </c>
      <c r="D28" s="100"/>
      <c r="E28" s="66"/>
      <c r="F28" s="66"/>
      <c r="G28" s="66">
        <f>G$24</f>
        <v>6.5</v>
      </c>
      <c r="H28" s="66"/>
      <c r="I28" s="67"/>
    </row>
    <row r="29" spans="1:9" ht="18">
      <c r="A29" s="114" t="s">
        <v>107</v>
      </c>
      <c r="B29" s="98"/>
      <c r="C29" s="112">
        <f>'GDF 2'!C29</f>
        <v>400.11</v>
      </c>
      <c r="D29" s="100"/>
      <c r="E29" s="66"/>
      <c r="F29" s="66"/>
      <c r="G29" s="66"/>
      <c r="H29" s="66">
        <f>H$25</f>
        <v>6.5</v>
      </c>
      <c r="I29" s="67"/>
    </row>
    <row r="30" spans="1:9" ht="18">
      <c r="A30" s="114" t="s">
        <v>108</v>
      </c>
      <c r="B30" s="98"/>
      <c r="C30" s="112">
        <f>'GDF 2'!C30</f>
        <v>220.49</v>
      </c>
      <c r="D30" s="100"/>
      <c r="E30" s="66"/>
      <c r="F30" s="66"/>
      <c r="G30" s="66"/>
      <c r="H30" s="66"/>
      <c r="I30" s="67">
        <f>I$26</f>
        <v>6.5</v>
      </c>
    </row>
    <row r="31" spans="1:9" ht="18">
      <c r="A31" s="114" t="s">
        <v>109</v>
      </c>
      <c r="B31" s="98"/>
      <c r="C31" s="115"/>
      <c r="D31" s="100"/>
      <c r="E31" s="66"/>
      <c r="F31" s="66"/>
      <c r="G31" s="66"/>
      <c r="H31" s="66"/>
      <c r="I31" s="67"/>
    </row>
    <row r="32" spans="1:9" ht="18">
      <c r="A32" s="114" t="s">
        <v>110</v>
      </c>
      <c r="B32" s="98"/>
      <c r="C32" s="112">
        <f>'GDF 2'!C32</f>
        <v>7500</v>
      </c>
      <c r="D32" s="100"/>
      <c r="E32" s="66"/>
      <c r="F32" s="66"/>
      <c r="G32" s="66"/>
      <c r="H32" s="66">
        <v>1</v>
      </c>
      <c r="I32" s="67"/>
    </row>
    <row r="33" spans="1:9" ht="18">
      <c r="A33" s="114" t="s">
        <v>111</v>
      </c>
      <c r="B33" s="98"/>
      <c r="C33" s="112">
        <f>'GDF 2'!C33</f>
        <v>9000</v>
      </c>
      <c r="D33" s="100"/>
      <c r="E33" s="66"/>
      <c r="F33" s="66"/>
      <c r="G33" s="66"/>
      <c r="H33" s="66"/>
      <c r="I33" s="67">
        <v>1</v>
      </c>
    </row>
    <row r="34" spans="1:9" ht="18">
      <c r="A34" s="111" t="s">
        <v>112</v>
      </c>
      <c r="B34" s="98"/>
      <c r="C34" s="112"/>
      <c r="D34" s="100"/>
      <c r="E34" s="66"/>
      <c r="F34" s="66"/>
      <c r="G34" s="66"/>
      <c r="H34" s="66"/>
      <c r="I34" s="67"/>
    </row>
    <row r="35" spans="1:9" ht="18">
      <c r="A35" s="111" t="s">
        <v>113</v>
      </c>
      <c r="B35" s="98"/>
      <c r="C35" s="112">
        <f>'GDF 2'!C35</f>
        <v>7500</v>
      </c>
      <c r="D35" s="100"/>
      <c r="E35" s="66">
        <v>1</v>
      </c>
      <c r="F35" s="66">
        <v>1</v>
      </c>
      <c r="G35" s="66">
        <v>1</v>
      </c>
      <c r="H35" s="66"/>
      <c r="I35" s="67"/>
    </row>
    <row r="36" spans="1:9" ht="18">
      <c r="A36" s="114" t="s">
        <v>93</v>
      </c>
      <c r="B36" s="98"/>
      <c r="C36" s="112"/>
      <c r="D36" s="100"/>
      <c r="E36" s="66"/>
      <c r="F36" s="66"/>
      <c r="G36" s="66"/>
      <c r="H36" s="66"/>
      <c r="I36" s="67"/>
    </row>
    <row r="37" spans="1:9" ht="18">
      <c r="A37" s="114" t="s">
        <v>101</v>
      </c>
      <c r="B37" s="112">
        <f>'GDF 2'!D37</f>
        <v>86.04</v>
      </c>
      <c r="C37" s="295">
        <f>2*B37</f>
        <v>172.08</v>
      </c>
      <c r="D37" s="100"/>
      <c r="E37" s="66">
        <f>E$23</f>
        <v>6.5</v>
      </c>
      <c r="F37" s="66">
        <f>F$23</f>
        <v>6.5</v>
      </c>
      <c r="G37" s="66"/>
      <c r="H37" s="66"/>
      <c r="I37" s="67"/>
    </row>
    <row r="38" spans="1:9" ht="18">
      <c r="A38" s="114" t="s">
        <v>102</v>
      </c>
      <c r="B38" s="112">
        <f>'GDF 2'!D38</f>
        <v>107.56</v>
      </c>
      <c r="C38" s="295">
        <f aca="true" t="shared" si="1" ref="C38:C47">2*B38</f>
        <v>215.12</v>
      </c>
      <c r="D38" s="100"/>
      <c r="E38" s="66"/>
      <c r="F38" s="66"/>
      <c r="G38" s="66">
        <f>G$24</f>
        <v>6.5</v>
      </c>
      <c r="H38" s="66"/>
      <c r="I38" s="67"/>
    </row>
    <row r="39" spans="1:9" ht="18">
      <c r="A39" s="114" t="s">
        <v>103</v>
      </c>
      <c r="B39" s="112">
        <f>'GDF 2'!D39</f>
        <v>48.4</v>
      </c>
      <c r="C39" s="295">
        <f t="shared" si="1"/>
        <v>96.8</v>
      </c>
      <c r="D39" s="100"/>
      <c r="E39" s="66"/>
      <c r="F39" s="66"/>
      <c r="G39" s="66"/>
      <c r="H39" s="66">
        <f>H$25</f>
        <v>6.5</v>
      </c>
      <c r="I39" s="67"/>
    </row>
    <row r="40" spans="1:9" ht="18">
      <c r="A40" s="114" t="s">
        <v>104</v>
      </c>
      <c r="B40" s="112">
        <f>'GDF 2'!D40</f>
        <v>53.78</v>
      </c>
      <c r="C40" s="295">
        <f t="shared" si="1"/>
        <v>107.56</v>
      </c>
      <c r="D40" s="100"/>
      <c r="E40" s="66"/>
      <c r="F40" s="66"/>
      <c r="G40" s="66"/>
      <c r="H40" s="66"/>
      <c r="I40" s="67">
        <f>I$26</f>
        <v>6.5</v>
      </c>
    </row>
    <row r="41" spans="1:9" ht="18">
      <c r="A41" s="114" t="s">
        <v>105</v>
      </c>
      <c r="B41" s="112">
        <f>'GDF 2'!D41</f>
        <v>172.08</v>
      </c>
      <c r="C41" s="295">
        <f t="shared" si="1"/>
        <v>344.16</v>
      </c>
      <c r="D41" s="100"/>
      <c r="E41" s="66">
        <f>E$23</f>
        <v>6.5</v>
      </c>
      <c r="F41" s="66">
        <f>F$23</f>
        <v>6.5</v>
      </c>
      <c r="G41" s="66"/>
      <c r="H41" s="66"/>
      <c r="I41" s="67"/>
    </row>
    <row r="42" spans="1:9" ht="18">
      <c r="A42" s="114" t="s">
        <v>106</v>
      </c>
      <c r="B42" s="112">
        <f>'GDF 2'!D42</f>
        <v>215.12</v>
      </c>
      <c r="C42" s="295">
        <f t="shared" si="1"/>
        <v>430.24</v>
      </c>
      <c r="D42" s="100"/>
      <c r="E42" s="66"/>
      <c r="F42" s="66"/>
      <c r="G42" s="66">
        <f>G$24</f>
        <v>6.5</v>
      </c>
      <c r="H42" s="66"/>
      <c r="I42" s="67"/>
    </row>
    <row r="43" spans="1:9" ht="18">
      <c r="A43" s="114" t="s">
        <v>107</v>
      </c>
      <c r="B43" s="112">
        <f>'GDF 2'!D43</f>
        <v>96.8</v>
      </c>
      <c r="C43" s="295">
        <f t="shared" si="1"/>
        <v>193.6</v>
      </c>
      <c r="D43" s="100"/>
      <c r="E43" s="66"/>
      <c r="F43" s="66"/>
      <c r="G43" s="66"/>
      <c r="H43" s="66">
        <f>H$25</f>
        <v>6.5</v>
      </c>
      <c r="I43" s="67"/>
    </row>
    <row r="44" spans="1:9" ht="18">
      <c r="A44" s="114" t="s">
        <v>108</v>
      </c>
      <c r="B44" s="112">
        <f>'GDF 2'!D44</f>
        <v>107.56</v>
      </c>
      <c r="C44" s="295">
        <f t="shared" si="1"/>
        <v>215.12</v>
      </c>
      <c r="D44" s="100"/>
      <c r="E44" s="66"/>
      <c r="F44" s="66"/>
      <c r="G44" s="66"/>
      <c r="H44" s="66"/>
      <c r="I44" s="67">
        <f>I$26</f>
        <v>6.5</v>
      </c>
    </row>
    <row r="45" spans="1:9" ht="18">
      <c r="A45" s="114" t="s">
        <v>114</v>
      </c>
      <c r="B45" s="112">
        <f>'GDF 2'!D45</f>
        <v>1505.78</v>
      </c>
      <c r="C45" s="295">
        <f t="shared" si="1"/>
        <v>3011.56</v>
      </c>
      <c r="D45" s="100"/>
      <c r="E45" s="66"/>
      <c r="F45" s="66"/>
      <c r="G45" s="66"/>
      <c r="H45" s="66">
        <v>1</v>
      </c>
      <c r="I45" s="67"/>
    </row>
    <row r="46" spans="1:9" ht="18">
      <c r="A46" s="114" t="s">
        <v>115</v>
      </c>
      <c r="B46" s="112">
        <f>'GDF 2'!D46</f>
        <v>1290.67</v>
      </c>
      <c r="C46" s="295">
        <f t="shared" si="1"/>
        <v>2581.34</v>
      </c>
      <c r="D46" s="100"/>
      <c r="E46" s="66"/>
      <c r="F46" s="66"/>
      <c r="G46" s="66"/>
      <c r="H46" s="66"/>
      <c r="I46" s="67">
        <v>1</v>
      </c>
    </row>
    <row r="47" spans="1:9" ht="18">
      <c r="A47" s="116" t="s">
        <v>116</v>
      </c>
      <c r="B47" s="112">
        <f>'GDF 2'!D47</f>
        <v>1506</v>
      </c>
      <c r="C47" s="295">
        <f t="shared" si="1"/>
        <v>3012</v>
      </c>
      <c r="D47" s="81"/>
      <c r="E47" s="69">
        <v>1</v>
      </c>
      <c r="F47" s="69">
        <v>1</v>
      </c>
      <c r="G47" s="69">
        <v>1</v>
      </c>
      <c r="H47" s="69"/>
      <c r="I47" s="70"/>
    </row>
    <row r="48" spans="1:9" ht="18.75" thickBot="1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9.5" thickBot="1" thickTop="1">
      <c r="A49" s="83" t="s">
        <v>117</v>
      </c>
      <c r="B49" s="68"/>
      <c r="C49" s="115"/>
      <c r="D49" s="100"/>
      <c r="E49" s="118">
        <f>+$C$23*E23+$C$24*E24+$C$25*E25+$C$26*E26+$C$27*E27+$C$28*E28+$C$29*E29+$C$30*E30+$C$32*E32+$C$33*E33+$C$35*E35+$C$37*E37+$C$38*E38+$C$39*E39+$C$40*E40+$C$41*E41+$C$42*E42+$C$43*E43+$C$44*E44+$C$45*E45+$C$46*E46+$C$47*E47</f>
        <v>17649.39</v>
      </c>
      <c r="F49" s="118">
        <f>+$C$23*F23+$C$24*F24+$C$25*F25+$C$26*F26+$C$27*F27+$C$28*F28+$C$29*F29+$C$30*F30+$C$32*F32+$C$33*F33+$C$35*F35+$C$37*F37+$C$38*F38+$C$39*F39+$C$40*F40+$C$41*F41+$C$42*F42+$C$43*F43+$C$44*F44+$C$45*F45+$C$46*F46+$C$47*F47</f>
        <v>17649.39</v>
      </c>
      <c r="G49" s="118">
        <f>+$C$23*G23+$C$24*G24+$C$25*G25+$C$26*G26+$C$27*G27+$C$28*G28+$C$29*G29+$C$30*G30+$C$32*G32+$C$33*G33+$C$35*G35+$C$37*G37+$C$38*G38+$C$39*G39+$C$40*G40+$C$41*G41+$C$42*G42+$C$43*G43+$C$44*G44+$C$45*G45+$C$46*G46+$C$47*G47</f>
        <v>19251.120000000003</v>
      </c>
      <c r="H49" s="118">
        <f>+$C$23*H23+$C$24*H24+$C$25*H25+$C$26*H26+$C$27*H27+$C$28*H28+$C$29*H29+$C$30*H30+$C$32*H32+$C$33*H33+$C$35*H35+$C$37*H37+$C$38*H38+$C$39*H39+$C$40*H40+$C$41*H41+$C$42*H42+$C$43*H43+$C$44*H44+$C$45*H45+$C$46*H46+$C$47*H47</f>
        <v>16357.27</v>
      </c>
      <c r="I49" s="118">
        <f>+$C$23*I23+$C$24*I24+$C$25*I25+$C$26*I26+$C$27*I27+$C$28*I28+$C$29*I29+$C$30*I30+$C$32*I32+$C$33*I33+$C$35*I35+$C$37*I37+$C$38*I38+$C$39*I39+$C$40*I40+$C$41*I41+$C$42*I42+$C$43*I43+$C$44*I44+$C$45*I45+$C$46*I46+$C$47*I47</f>
        <v>16573.015</v>
      </c>
    </row>
    <row r="50" spans="1:9" ht="18.75" thickTop="1">
      <c r="A50" s="114" t="s">
        <v>118</v>
      </c>
      <c r="B50" s="68"/>
      <c r="C50" s="115"/>
      <c r="D50" s="100"/>
      <c r="E50" s="115">
        <v>1859.26</v>
      </c>
      <c r="F50" s="115">
        <v>1859.26</v>
      </c>
      <c r="G50" s="115">
        <v>2202.265</v>
      </c>
      <c r="H50" s="115">
        <v>1671.995</v>
      </c>
      <c r="I50" s="73">
        <v>1810.64</v>
      </c>
    </row>
    <row r="51" spans="1:9" ht="18">
      <c r="A51" s="114" t="s">
        <v>119</v>
      </c>
      <c r="B51" s="68"/>
      <c r="C51" s="115"/>
      <c r="D51" s="100"/>
      <c r="E51" s="115">
        <v>3600.35</v>
      </c>
      <c r="F51" s="115">
        <v>3600.35</v>
      </c>
      <c r="G51" s="115">
        <v>4439.435</v>
      </c>
      <c r="H51" s="115">
        <v>3229.915</v>
      </c>
      <c r="I51" s="73">
        <v>2132.325</v>
      </c>
    </row>
    <row r="52" spans="1:9" ht="18">
      <c r="A52" s="114" t="s">
        <v>120</v>
      </c>
      <c r="B52" s="68"/>
      <c r="C52" s="115"/>
      <c r="D52" s="100"/>
      <c r="E52" s="74">
        <f>E49-E50-E51</f>
        <v>12189.779999999999</v>
      </c>
      <c r="F52" s="74">
        <f>F49-F50-F51</f>
        <v>12189.779999999999</v>
      </c>
      <c r="G52" s="74">
        <f>G49-G50-G51</f>
        <v>12609.420000000002</v>
      </c>
      <c r="H52" s="74">
        <f>H49-H50-H51</f>
        <v>11455.36</v>
      </c>
      <c r="I52" s="75">
        <f>I49-I50-I51</f>
        <v>12630.05</v>
      </c>
    </row>
    <row r="53" spans="1:9" ht="18">
      <c r="A53" s="114" t="s">
        <v>121</v>
      </c>
      <c r="B53" s="68"/>
      <c r="C53" s="115"/>
      <c r="D53" s="100"/>
      <c r="E53" s="115">
        <f>E50*$C$113</f>
        <v>747.635969788519</v>
      </c>
      <c r="F53" s="115">
        <f>F50*$C$113</f>
        <v>747.635969788519</v>
      </c>
      <c r="G53" s="115">
        <f>G50*$C$113</f>
        <v>885.5633580060415</v>
      </c>
      <c r="H53" s="115">
        <f>H50*$C$113</f>
        <v>672.3339410876127</v>
      </c>
      <c r="I53" s="73">
        <f>I50*$C$113</f>
        <v>728.0851480362533</v>
      </c>
    </row>
    <row r="54" spans="1:9" ht="18">
      <c r="A54" s="114" t="s">
        <v>122</v>
      </c>
      <c r="B54" s="68"/>
      <c r="C54" s="115"/>
      <c r="D54" s="100"/>
      <c r="E54" s="115">
        <f>E51*$C$112</f>
        <v>739.5316908470393</v>
      </c>
      <c r="F54" s="115">
        <f>F51*$C$112</f>
        <v>739.5316908470393</v>
      </c>
      <c r="G54" s="115">
        <f>G51*$C$112</f>
        <v>911.8843645633136</v>
      </c>
      <c r="H54" s="115">
        <f>H51*$C$112</f>
        <v>663.4423045654491</v>
      </c>
      <c r="I54" s="73">
        <f>I51*$C$112</f>
        <v>437.9912821490724</v>
      </c>
    </row>
    <row r="55" spans="1:9" ht="18">
      <c r="A55" s="114" t="s">
        <v>123</v>
      </c>
      <c r="B55" s="68"/>
      <c r="C55" s="115"/>
      <c r="D55" s="100"/>
      <c r="E55" s="76">
        <f>E52*$C$111</f>
        <v>1983.8305596309415</v>
      </c>
      <c r="F55" s="77">
        <f>F52*$C$111</f>
        <v>1983.8305596309415</v>
      </c>
      <c r="G55" s="77">
        <f>G52*$C$111</f>
        <v>2052.125037139439</v>
      </c>
      <c r="H55" s="77">
        <f>H52*$C$111</f>
        <v>1864.3070867213276</v>
      </c>
      <c r="I55" s="51">
        <f>I52*$C$111</f>
        <v>2055.482474635865</v>
      </c>
    </row>
    <row r="56" spans="1:9" ht="18">
      <c r="A56" s="86" t="s">
        <v>124</v>
      </c>
      <c r="B56" s="52"/>
      <c r="C56" s="74"/>
      <c r="D56" s="53"/>
      <c r="E56" s="54">
        <f>SUM(E53:E55)</f>
        <v>3470.9982202664996</v>
      </c>
      <c r="F56" s="55">
        <f>SUM(F53:F55)</f>
        <v>3470.9982202664996</v>
      </c>
      <c r="G56" s="55">
        <f>SUM(G53:G55)</f>
        <v>3849.5727597087944</v>
      </c>
      <c r="H56" s="55">
        <f>SUM(H53:H55)</f>
        <v>3200.083332374389</v>
      </c>
      <c r="I56" s="55">
        <f>SUM(I53:I55)</f>
        <v>3221.5589048211905</v>
      </c>
    </row>
    <row r="57" spans="1:9" ht="18">
      <c r="A57" s="100"/>
      <c r="B57" s="68"/>
      <c r="C57" s="88"/>
      <c r="D57" s="100"/>
      <c r="E57" s="89" t="s">
        <v>97</v>
      </c>
      <c r="F57" s="90">
        <f>AVERAGE(E49:I49)</f>
        <v>17496.037</v>
      </c>
      <c r="G57" s="91" t="s">
        <v>98</v>
      </c>
      <c r="H57" s="92"/>
      <c r="I57" s="62">
        <f>AVERAGE(E56:I56)</f>
        <v>3442.6422874874747</v>
      </c>
    </row>
    <row r="58" spans="1:9" ht="18.75">
      <c r="A58" s="105" t="s">
        <v>125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126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127</v>
      </c>
      <c r="B60" s="98"/>
      <c r="C60" s="112">
        <f>'GDF 2'!C60</f>
        <v>54.20125</v>
      </c>
      <c r="D60" s="100"/>
      <c r="E60" s="56"/>
      <c r="F60" s="56"/>
      <c r="G60" s="56"/>
      <c r="H60" s="56">
        <f>$E$23</f>
        <v>6.5</v>
      </c>
      <c r="I60" s="57">
        <f>$E$23</f>
        <v>6.5</v>
      </c>
    </row>
    <row r="61" spans="1:9" ht="18">
      <c r="A61" s="114" t="s">
        <v>128</v>
      </c>
      <c r="B61" s="98"/>
      <c r="E61" s="58"/>
      <c r="F61" s="58"/>
      <c r="G61" s="58"/>
      <c r="H61" s="58"/>
      <c r="I61" s="59"/>
    </row>
    <row r="62" spans="1:9" ht="18">
      <c r="A62" s="114" t="s">
        <v>129</v>
      </c>
      <c r="B62" s="98"/>
      <c r="C62" s="115"/>
      <c r="D62" s="100"/>
      <c r="E62" s="56"/>
      <c r="F62" s="56"/>
      <c r="G62" s="56"/>
      <c r="H62" s="56"/>
      <c r="I62" s="57"/>
    </row>
    <row r="63" spans="1:9" ht="18">
      <c r="A63" s="111" t="s">
        <v>130</v>
      </c>
      <c r="B63" s="98"/>
      <c r="C63" s="112">
        <f>'GDF 2'!C63</f>
        <v>200</v>
      </c>
      <c r="D63" s="100"/>
      <c r="E63" s="41">
        <f>Sum!$F$15</f>
        <v>6</v>
      </c>
      <c r="F63" s="56">
        <f>$E$63</f>
        <v>6</v>
      </c>
      <c r="G63" s="56">
        <f>$E$63</f>
        <v>6</v>
      </c>
      <c r="H63" s="56"/>
      <c r="I63" s="57"/>
    </row>
    <row r="64" spans="1:9" ht="18">
      <c r="A64" s="111" t="s">
        <v>131</v>
      </c>
      <c r="B64" s="98"/>
      <c r="C64" s="112"/>
      <c r="D64" s="100"/>
      <c r="E64" s="56"/>
      <c r="F64" s="56"/>
      <c r="G64" s="56"/>
      <c r="H64" s="56"/>
      <c r="I64" s="57"/>
    </row>
    <row r="65" spans="1:9" ht="18">
      <c r="A65" s="114" t="s">
        <v>93</v>
      </c>
      <c r="B65" s="98"/>
      <c r="C65" s="115"/>
      <c r="D65" s="100"/>
      <c r="E65" s="56"/>
      <c r="F65" s="56"/>
      <c r="G65" s="56"/>
      <c r="H65" s="56"/>
      <c r="I65" s="57"/>
    </row>
    <row r="66" spans="1:9" ht="18">
      <c r="A66" s="111" t="s">
        <v>132</v>
      </c>
      <c r="B66" s="98"/>
      <c r="C66" s="112">
        <f>'GDF 2'!C66</f>
        <v>160</v>
      </c>
      <c r="D66" s="100"/>
      <c r="E66" s="56"/>
      <c r="F66" s="56"/>
      <c r="G66" s="56"/>
      <c r="H66" s="56">
        <f>$E$23</f>
        <v>6.5</v>
      </c>
      <c r="I66" s="57">
        <f>$E$23</f>
        <v>6.5</v>
      </c>
    </row>
    <row r="67" spans="1:9" ht="18">
      <c r="A67" s="42" t="s">
        <v>130</v>
      </c>
      <c r="B67" s="117"/>
      <c r="C67" s="112">
        <f>'GDF 2'!C67</f>
        <v>160</v>
      </c>
      <c r="D67" s="81"/>
      <c r="E67" s="56">
        <f>$E$63</f>
        <v>6</v>
      </c>
      <c r="F67" s="56">
        <f>$E$63</f>
        <v>6</v>
      </c>
      <c r="G67" s="56">
        <f>$E$63</f>
        <v>6</v>
      </c>
      <c r="H67" s="43"/>
      <c r="I67" s="44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133</v>
      </c>
      <c r="B69" s="68"/>
      <c r="C69" s="115"/>
      <c r="D69" s="100"/>
      <c r="E69" s="84">
        <v>2160</v>
      </c>
      <c r="F69" s="85">
        <v>2160</v>
      </c>
      <c r="G69" s="85">
        <v>2160</v>
      </c>
      <c r="H69" s="85">
        <v>1392.308125</v>
      </c>
      <c r="I69" s="85">
        <v>1392.308125</v>
      </c>
    </row>
    <row r="70" spans="1:9" ht="18">
      <c r="A70" s="114" t="s">
        <v>134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1392.308125</v>
      </c>
      <c r="I70" s="73">
        <v>1392.308125</v>
      </c>
    </row>
    <row r="71" spans="1:9" ht="18">
      <c r="A71" s="114" t="s">
        <v>135</v>
      </c>
      <c r="B71" s="68"/>
      <c r="C71" s="115"/>
      <c r="D71" s="100"/>
      <c r="E71" s="74">
        <v>2160</v>
      </c>
      <c r="F71" s="74">
        <v>2160</v>
      </c>
      <c r="G71" s="74">
        <v>2160</v>
      </c>
      <c r="H71" s="74">
        <v>0</v>
      </c>
      <c r="I71" s="75">
        <v>0</v>
      </c>
    </row>
    <row r="72" spans="1:9" ht="18">
      <c r="A72" s="114" t="s">
        <v>136</v>
      </c>
      <c r="B72" s="68"/>
      <c r="C72" s="115"/>
      <c r="D72" s="100"/>
      <c r="E72" s="115">
        <f>E70*$C113</f>
        <v>0</v>
      </c>
      <c r="F72" s="115">
        <f>F70*$C113</f>
        <v>0</v>
      </c>
      <c r="G72" s="115">
        <f>G70*$C113</f>
        <v>0</v>
      </c>
      <c r="H72" s="115">
        <f>H70*$C113</f>
        <v>559.8677082703923</v>
      </c>
      <c r="I72" s="73">
        <f>I70*$C113</f>
        <v>559.8677082703923</v>
      </c>
    </row>
    <row r="73" spans="1:9" ht="18">
      <c r="A73" s="114" t="s">
        <v>137</v>
      </c>
      <c r="B73" s="68"/>
      <c r="C73" s="115"/>
      <c r="D73" s="100"/>
      <c r="E73" s="115">
        <f>E71*$C112</f>
        <v>443.67587935328646</v>
      </c>
      <c r="F73" s="115">
        <f>F71*$C112</f>
        <v>443.67587935328646</v>
      </c>
      <c r="G73" s="115">
        <f>G71*$C112</f>
        <v>443.67587935328646</v>
      </c>
      <c r="H73" s="115">
        <f>H71*$C112</f>
        <v>0</v>
      </c>
      <c r="I73" s="73">
        <f>I71*$C112</f>
        <v>0</v>
      </c>
    </row>
    <row r="74" spans="1:9" ht="18">
      <c r="A74" s="86" t="s">
        <v>138</v>
      </c>
      <c r="B74" s="47"/>
      <c r="C74" s="74"/>
      <c r="D74" s="53"/>
      <c r="E74" s="48">
        <f>SUM(E72:E73)</f>
        <v>443.67587935328646</v>
      </c>
      <c r="F74" s="49">
        <f>SUM(F72:F73)</f>
        <v>443.67587935328646</v>
      </c>
      <c r="G74" s="49">
        <f>SUM(G72:G73)</f>
        <v>443.67587935328646</v>
      </c>
      <c r="H74" s="49">
        <f>SUM(H72:H73)</f>
        <v>559.8677082703923</v>
      </c>
      <c r="I74" s="49">
        <f>SUM(I72:I73)</f>
        <v>559.8677082703923</v>
      </c>
    </row>
    <row r="75" spans="1:9" ht="18">
      <c r="A75" s="100"/>
      <c r="B75" s="98"/>
      <c r="C75" s="88"/>
      <c r="D75" s="100"/>
      <c r="E75" s="89" t="s">
        <v>97</v>
      </c>
      <c r="F75" s="90">
        <f>AVERAGE(E69:I69)</f>
        <v>1852.9232499999998</v>
      </c>
      <c r="G75" s="91" t="s">
        <v>98</v>
      </c>
      <c r="H75" s="92"/>
      <c r="I75" s="62">
        <f>AVERAGE(E74:I74)</f>
        <v>490.1526109201288</v>
      </c>
    </row>
    <row r="76" spans="1:9" ht="18.75">
      <c r="A76" s="105" t="s">
        <v>139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140</v>
      </c>
      <c r="B77" s="107"/>
      <c r="C77" s="64">
        <f>'GDF 2'!C77</f>
        <v>54.05375</v>
      </c>
      <c r="D77" s="109"/>
      <c r="E77" s="24">
        <f>$E$23</f>
        <v>6.5</v>
      </c>
      <c r="F77" s="24">
        <f>$E$23</f>
        <v>6.5</v>
      </c>
      <c r="G77" s="24">
        <f>$E$23</f>
        <v>6.5</v>
      </c>
      <c r="H77" s="24">
        <f>$E$23</f>
        <v>6.5</v>
      </c>
      <c r="I77" s="25">
        <f>$E$23</f>
        <v>6.5</v>
      </c>
    </row>
    <row r="78" spans="1:9" ht="18">
      <c r="A78" s="42" t="s">
        <v>141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142</v>
      </c>
      <c r="B80" s="68"/>
      <c r="C80" s="112"/>
      <c r="D80" s="100"/>
      <c r="E80" s="84">
        <v>351.349375</v>
      </c>
      <c r="F80" s="85">
        <v>351.349375</v>
      </c>
      <c r="G80" s="85">
        <v>351.349375</v>
      </c>
      <c r="H80" s="85">
        <v>351.349375</v>
      </c>
      <c r="I80" s="85">
        <v>351.349375</v>
      </c>
    </row>
    <row r="81" spans="1:9" ht="18">
      <c r="A81" s="86" t="s">
        <v>143</v>
      </c>
      <c r="B81" s="47"/>
      <c r="C81" s="27"/>
      <c r="D81" s="53"/>
      <c r="E81" s="48">
        <f>E80*$C113</f>
        <v>141.28278493202407</v>
      </c>
      <c r="F81" s="49">
        <f>F80*$C113</f>
        <v>141.28278493202407</v>
      </c>
      <c r="G81" s="49">
        <f>G80*$C113</f>
        <v>141.28278493202407</v>
      </c>
      <c r="H81" s="49">
        <f>H80*$C113</f>
        <v>141.28278493202407</v>
      </c>
      <c r="I81" s="49">
        <f>I80*$C113</f>
        <v>141.28278493202407</v>
      </c>
    </row>
    <row r="82" spans="1:9" ht="18">
      <c r="A82" s="100"/>
      <c r="B82" s="98"/>
      <c r="C82" s="88"/>
      <c r="D82" s="100"/>
      <c r="E82" s="89" t="s">
        <v>97</v>
      </c>
      <c r="F82" s="90">
        <f>AVERAGE(E80:I80)</f>
        <v>351.349375</v>
      </c>
      <c r="G82" s="91" t="s">
        <v>98</v>
      </c>
      <c r="H82" s="92"/>
      <c r="I82" s="62">
        <f>AVERAGE(E81:I81)</f>
        <v>141.28278493202407</v>
      </c>
    </row>
    <row r="83" spans="1:9" ht="18.75">
      <c r="A83" s="105" t="s">
        <v>144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140</v>
      </c>
      <c r="B84" s="107"/>
      <c r="C84" s="64">
        <f>'GDF 2'!C84</f>
        <v>54.05375</v>
      </c>
      <c r="D84" s="109"/>
      <c r="E84" s="24">
        <f>$E$23</f>
        <v>6.5</v>
      </c>
      <c r="F84" s="24">
        <f>$E$23</f>
        <v>6.5</v>
      </c>
      <c r="G84" s="24">
        <f>$E$23</f>
        <v>6.5</v>
      </c>
      <c r="H84" s="24">
        <f>$E$23</f>
        <v>6.5</v>
      </c>
      <c r="I84" s="25">
        <f>$E$23</f>
        <v>6.5</v>
      </c>
    </row>
    <row r="85" spans="1:9" ht="18">
      <c r="A85" s="42" t="s">
        <v>141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145</v>
      </c>
      <c r="B87" s="68"/>
      <c r="C87" s="115"/>
      <c r="D87" s="100"/>
      <c r="E87" s="84">
        <v>351.349375</v>
      </c>
      <c r="F87" s="85">
        <v>351.349375</v>
      </c>
      <c r="G87" s="85">
        <v>351.349375</v>
      </c>
      <c r="H87" s="85">
        <v>351.349375</v>
      </c>
      <c r="I87" s="85">
        <v>351.349375</v>
      </c>
    </row>
    <row r="88" spans="1:9" ht="18">
      <c r="A88" s="86" t="s">
        <v>146</v>
      </c>
      <c r="B88" s="52"/>
      <c r="C88" s="74"/>
      <c r="D88" s="53"/>
      <c r="E88" s="48">
        <f>E87*$C113</f>
        <v>141.28278493202407</v>
      </c>
      <c r="F88" s="49">
        <f>F87*$C113</f>
        <v>141.28278493202407</v>
      </c>
      <c r="G88" s="49">
        <f>G87*$C113</f>
        <v>141.28278493202407</v>
      </c>
      <c r="H88" s="49">
        <f>H87*$C113</f>
        <v>141.28278493202407</v>
      </c>
      <c r="I88" s="49">
        <f>I87*$C113</f>
        <v>141.28278493202407</v>
      </c>
    </row>
    <row r="89" spans="1:9" ht="18">
      <c r="A89" s="100"/>
      <c r="B89" s="68"/>
      <c r="C89" s="88"/>
      <c r="D89" s="100"/>
      <c r="E89" s="89" t="s">
        <v>97</v>
      </c>
      <c r="F89" s="90">
        <f>AVERAGE(E87:I87)</f>
        <v>351.349375</v>
      </c>
      <c r="G89" s="91" t="s">
        <v>98</v>
      </c>
      <c r="H89" s="92"/>
      <c r="I89" s="62">
        <f>AVERAGE(E88:I88)</f>
        <v>141.28278493202407</v>
      </c>
    </row>
    <row r="90" spans="1:9" ht="18.75">
      <c r="A90" s="105" t="s">
        <v>147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126</v>
      </c>
      <c r="B91" s="292" t="s">
        <v>263</v>
      </c>
      <c r="C91" s="108"/>
      <c r="D91" s="109"/>
      <c r="E91" s="24"/>
      <c r="F91" s="24"/>
      <c r="G91" s="24"/>
      <c r="H91" s="24"/>
      <c r="I91" s="25"/>
    </row>
    <row r="92" spans="1:9" ht="18">
      <c r="A92" s="111" t="s">
        <v>148</v>
      </c>
      <c r="B92" s="296">
        <v>192</v>
      </c>
      <c r="C92" s="294">
        <f>'GDF 2'!C92</f>
        <v>595</v>
      </c>
      <c r="D92" s="100"/>
      <c r="E92" s="301">
        <v>1</v>
      </c>
      <c r="F92" s="301">
        <v>1</v>
      </c>
      <c r="G92" s="301">
        <v>1</v>
      </c>
      <c r="H92" s="301">
        <v>1</v>
      </c>
      <c r="I92" s="301">
        <v>1</v>
      </c>
    </row>
    <row r="93" spans="1:9" ht="18">
      <c r="A93" s="111" t="s">
        <v>149</v>
      </c>
      <c r="B93" s="296">
        <v>245</v>
      </c>
      <c r="C93" s="294">
        <f>'GDF 2'!C93</f>
        <v>885</v>
      </c>
      <c r="D93" s="100"/>
      <c r="E93" s="301">
        <v>3</v>
      </c>
      <c r="F93" s="301">
        <v>3</v>
      </c>
      <c r="G93" s="301">
        <v>3</v>
      </c>
      <c r="H93" s="301">
        <v>3</v>
      </c>
      <c r="I93" s="301">
        <v>3</v>
      </c>
    </row>
    <row r="94" spans="1:9" ht="18">
      <c r="A94" s="111" t="s">
        <v>150</v>
      </c>
      <c r="B94" s="296">
        <v>1197</v>
      </c>
      <c r="C94" s="294">
        <f>'GDF 2'!C94</f>
        <v>3995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331</v>
      </c>
      <c r="B95" s="98"/>
      <c r="C95" s="285">
        <v>670</v>
      </c>
      <c r="D95" s="296"/>
      <c r="E95" s="56">
        <v>1</v>
      </c>
      <c r="F95" s="56">
        <v>1</v>
      </c>
      <c r="G95" s="56">
        <v>1</v>
      </c>
      <c r="H95" s="56">
        <v>1</v>
      </c>
      <c r="I95" s="57">
        <v>1</v>
      </c>
    </row>
    <row r="96" spans="1:9" ht="18">
      <c r="A96" s="111" t="s">
        <v>332</v>
      </c>
      <c r="B96" s="98"/>
      <c r="C96" s="285">
        <v>1095</v>
      </c>
      <c r="D96" s="296"/>
      <c r="E96" s="98">
        <f>Sum!$D$13</f>
        <v>2.5</v>
      </c>
      <c r="F96" s="98">
        <f>$E$8</f>
        <v>2.5</v>
      </c>
      <c r="G96" s="98">
        <f>F96</f>
        <v>2.5</v>
      </c>
      <c r="H96" s="98">
        <f>G96</f>
        <v>2.5</v>
      </c>
      <c r="I96" s="113">
        <f>$E$8</f>
        <v>2.5</v>
      </c>
    </row>
    <row r="97" spans="1:9" ht="18">
      <c r="A97" s="307" t="s">
        <v>284</v>
      </c>
      <c r="B97" s="309"/>
      <c r="C97" s="294"/>
      <c r="D97" s="298"/>
      <c r="E97" s="301"/>
      <c r="F97" s="56"/>
      <c r="G97" s="56"/>
      <c r="H97" s="56"/>
      <c r="I97" s="57"/>
    </row>
    <row r="98" spans="1:9" ht="18">
      <c r="A98" s="42"/>
      <c r="C98" s="286">
        <f>300+(200*E98)</f>
        <v>900</v>
      </c>
      <c r="D98" s="81"/>
      <c r="E98" s="301">
        <v>3</v>
      </c>
      <c r="F98" s="301">
        <v>3</v>
      </c>
      <c r="G98" s="301">
        <v>3</v>
      </c>
      <c r="H98" s="301">
        <v>3</v>
      </c>
      <c r="I98" s="301">
        <v>3</v>
      </c>
    </row>
    <row r="99" spans="1:9" ht="18.75" thickBot="1">
      <c r="A99" s="114"/>
      <c r="B99" s="98"/>
      <c r="C99" s="115"/>
      <c r="D99" s="100"/>
      <c r="E99" s="68"/>
      <c r="F99" s="68"/>
      <c r="G99" s="68"/>
      <c r="H99" s="68"/>
      <c r="I99" s="28"/>
    </row>
    <row r="100" spans="1:9" ht="19.5" thickBot="1" thickTop="1">
      <c r="A100" s="83" t="s">
        <v>152</v>
      </c>
      <c r="B100" s="98"/>
      <c r="C100" s="115"/>
      <c r="D100" s="100"/>
      <c r="E100" s="48">
        <f>+E92*$C$92+E93*$C$93+E94*$C$94+E95*$C$95+E96*$C$96+E93:I93+$C$98</f>
        <v>11555.5</v>
      </c>
      <c r="F100" s="48">
        <f>+F92*$C$92+F93*$C$93+F94*$C$94+F95*$C$95+F96*$C$96+F93:J93+$C$98</f>
        <v>11555.5</v>
      </c>
      <c r="G100" s="48">
        <f>+G92*$C$92+G93*$C$93+G94*$C$94+G95*$C$95+G96*$C$96+G93:K93+$C$98</f>
        <v>11555.5</v>
      </c>
      <c r="H100" s="48">
        <f>+H92*$C$92+H93*$C$93+H94*$C$94+H95*$C$95+H96*$C$96+H93:L93+$C$98</f>
        <v>11555.5</v>
      </c>
      <c r="I100" s="48">
        <f>+I92*$C$92+I93*$C$93+I94*$C$94+I95*$C$95+I96*$C$96+I93:M93+$C$98</f>
        <v>11555.5</v>
      </c>
    </row>
    <row r="101" spans="1:9" ht="19.5" thickBot="1" thickTop="1">
      <c r="A101" s="86" t="s">
        <v>153</v>
      </c>
      <c r="B101" s="52"/>
      <c r="C101" s="74"/>
      <c r="D101" s="53"/>
      <c r="E101" s="48">
        <f>E100*$C111</f>
        <v>1880.6044105648623</v>
      </c>
      <c r="F101" s="49">
        <f>F100*$C111</f>
        <v>1880.6044105648623</v>
      </c>
      <c r="G101" s="49">
        <f>G100*$C111</f>
        <v>1880.6044105648623</v>
      </c>
      <c r="H101" s="49">
        <f>H100*$C111</f>
        <v>1880.6044105648623</v>
      </c>
      <c r="I101" s="49">
        <f>I100*$C111</f>
        <v>1880.6044105648623</v>
      </c>
    </row>
    <row r="102" spans="1:9" ht="19.5" thickBot="1" thickTop="1">
      <c r="A102" s="288" t="s">
        <v>259</v>
      </c>
      <c r="B102" s="298"/>
      <c r="C102" s="289"/>
      <c r="D102" s="290"/>
      <c r="E102" s="291">
        <v>1170</v>
      </c>
      <c r="F102" s="291">
        <v>1170</v>
      </c>
      <c r="G102" s="291">
        <v>1170</v>
      </c>
      <c r="H102" s="291">
        <v>1170</v>
      </c>
      <c r="I102" s="291">
        <v>1170</v>
      </c>
    </row>
    <row r="103" spans="1:9" ht="19.5" thickBot="1" thickTop="1">
      <c r="A103" s="288" t="s">
        <v>343</v>
      </c>
      <c r="C103" s="289"/>
      <c r="D103" s="290"/>
      <c r="E103" s="291">
        <v>500</v>
      </c>
      <c r="F103" s="291">
        <v>500</v>
      </c>
      <c r="G103" s="291">
        <v>500</v>
      </c>
      <c r="H103" s="291">
        <v>0</v>
      </c>
      <c r="I103" s="291">
        <v>0</v>
      </c>
    </row>
    <row r="104" spans="1:9" ht="19.5" thickBot="1" thickTop="1">
      <c r="A104" s="100"/>
      <c r="B104" s="98"/>
      <c r="C104" s="115"/>
      <c r="D104" s="100"/>
      <c r="E104" s="89" t="s">
        <v>97</v>
      </c>
      <c r="F104" s="90">
        <f>AVERAGE(E100:I100)</f>
        <v>11555.5</v>
      </c>
      <c r="G104" s="91" t="s">
        <v>98</v>
      </c>
      <c r="H104" s="92"/>
      <c r="I104" s="62">
        <f>AVERAGE(E101:I101)+E102+AVERAGE(E103:I103)</f>
        <v>3350.6044105648625</v>
      </c>
    </row>
    <row r="105" spans="1:9" ht="18">
      <c r="A105" s="29"/>
      <c r="B105" s="103"/>
      <c r="C105" s="30"/>
      <c r="D105" s="29"/>
      <c r="E105" s="31"/>
      <c r="F105" s="31"/>
      <c r="G105" s="31"/>
      <c r="H105" s="31"/>
      <c r="I105" s="31"/>
    </row>
    <row r="106" spans="2:9" ht="18"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32" t="s">
        <v>154</v>
      </c>
      <c r="B107" s="98"/>
      <c r="C107" s="88"/>
      <c r="D107" s="100"/>
      <c r="E107" s="84">
        <f>SUM(E18,E49,E69,E80,E87,E100)</f>
        <v>38026.08875</v>
      </c>
      <c r="F107" s="85">
        <f>SUM(F18,F49,F69,F80,F87,F100)</f>
        <v>38026.08875</v>
      </c>
      <c r="G107" s="85">
        <f>SUM(G18,G49,G69,G80,G87,G100)</f>
        <v>39627.818750000006</v>
      </c>
      <c r="H107" s="85">
        <f>SUM(H18,H49,H69,H80,H87,H100)</f>
        <v>35966.276875</v>
      </c>
      <c r="I107" s="33">
        <f>SUM(I18,I49,I69,I80,I87,I100)</f>
        <v>36182.021875000006</v>
      </c>
    </row>
    <row r="108" spans="1:9" ht="18">
      <c r="A108" s="32" t="s">
        <v>155</v>
      </c>
      <c r="B108" s="98"/>
      <c r="C108" s="88"/>
      <c r="D108" s="100"/>
      <c r="E108" s="84">
        <f>SUM(E19,E56,E74,E81,E88,E101,E102:E103)</f>
        <v>8971.752750014693</v>
      </c>
      <c r="F108" s="84">
        <f>SUM(F19,F56,F74,F81,F88,F101,F102:F103)</f>
        <v>8971.752750014693</v>
      </c>
      <c r="G108" s="84">
        <f>SUM(G19,G56,G74,G81,G88,G101,G102:G103)</f>
        <v>9350.32728945699</v>
      </c>
      <c r="H108" s="84">
        <f>SUM(H19,H56,H74,H81,H88,H101,H102:H103)</f>
        <v>8317.02969103969</v>
      </c>
      <c r="I108" s="84">
        <f>SUM(I19,I56,I74,I81,I88,I101,I102:I103)</f>
        <v>8338.505263486491</v>
      </c>
    </row>
    <row r="109" spans="2:9" ht="18">
      <c r="B109" s="98"/>
      <c r="C109" s="99"/>
      <c r="D109" s="100"/>
      <c r="E109" s="98"/>
      <c r="F109" s="98"/>
      <c r="G109" s="98"/>
      <c r="H109" s="98"/>
      <c r="I109" s="98"/>
    </row>
    <row r="110" spans="1:9" ht="18">
      <c r="A110" s="97" t="s">
        <v>156</v>
      </c>
      <c r="B110" s="98"/>
      <c r="C110" s="99"/>
      <c r="D110" s="100"/>
      <c r="E110" s="98"/>
      <c r="F110" s="98"/>
      <c r="G110" s="98"/>
      <c r="H110" s="98"/>
      <c r="I110" s="98"/>
    </row>
    <row r="111" spans="1:9" ht="18">
      <c r="A111" s="97" t="s">
        <v>157</v>
      </c>
      <c r="B111" s="98"/>
      <c r="C111" s="34">
        <f>(0.1*(1+0.1)^10)/((1+0.1)^10-1)</f>
        <v>0.16274539488251155</v>
      </c>
      <c r="D111" s="100"/>
      <c r="E111" s="98"/>
      <c r="F111" s="35" t="s">
        <v>158</v>
      </c>
      <c r="G111" s="36"/>
      <c r="H111" s="37"/>
      <c r="I111" s="38">
        <f>AVERAGE(E107:I107)</f>
        <v>37565.659</v>
      </c>
    </row>
    <row r="112" spans="1:9" ht="18">
      <c r="A112" s="97" t="s">
        <v>159</v>
      </c>
      <c r="B112" s="98"/>
      <c r="C112" s="34">
        <f>(0.1*(1+0.1)^7)/((1+0.1)^7-1)</f>
        <v>0.20540549970059557</v>
      </c>
      <c r="D112" s="100"/>
      <c r="E112" s="98"/>
      <c r="F112" s="35" t="s">
        <v>160</v>
      </c>
      <c r="G112" s="36"/>
      <c r="H112" s="37"/>
      <c r="I112" s="38">
        <f>AVERAGE(E108:I108)</f>
        <v>8789.87354880251</v>
      </c>
    </row>
    <row r="113" spans="1:9" ht="18">
      <c r="A113" s="97" t="s">
        <v>161</v>
      </c>
      <c r="B113" s="98"/>
      <c r="C113" s="34">
        <f>(0.1*(1+0.1)^3)/((1+0.1)^3-1)</f>
        <v>0.4021148036253773</v>
      </c>
      <c r="D113" s="100"/>
      <c r="E113" s="98"/>
      <c r="F113" s="98"/>
      <c r="G113" s="98"/>
      <c r="H113" s="98"/>
      <c r="I113" s="98"/>
    </row>
    <row r="114" spans="1:9" ht="18">
      <c r="A114" s="97" t="s">
        <v>162</v>
      </c>
      <c r="B114" s="98"/>
      <c r="C114" s="99"/>
      <c r="D114" s="100"/>
      <c r="E114" s="98"/>
      <c r="F114" s="98"/>
      <c r="G114" s="98"/>
      <c r="H114" s="98"/>
      <c r="I114" s="98"/>
    </row>
  </sheetData>
  <mergeCells count="1">
    <mergeCell ref="A17:B17"/>
  </mergeCells>
  <printOptions/>
  <pageMargins left="0.37" right="0.47" top="0.87" bottom="0.23" header="0.17" footer="0.26"/>
  <pageSetup horizontalDpi="600" verticalDpi="600" orientation="landscape" scale="85" r:id="rId1"/>
  <headerFooter alignWithMargins="0">
    <oddHeader>&amp;LEVR Technology Review&amp;RAppendix 4</oddHeader>
    <oddFooter>&amp;RPage 15</oddFooter>
  </headerFooter>
  <rowBreaks count="2" manualBreakCount="2">
    <brk id="57" max="255" man="1"/>
    <brk id="8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65" zoomScaleNormal="75" zoomScaleSheetLayoutView="65" workbookViewId="0" topLeftCell="A1">
      <selection activeCell="D100" sqref="D100"/>
    </sheetView>
  </sheetViews>
  <sheetFormatPr defaultColWidth="9.140625" defaultRowHeight="12.75"/>
  <cols>
    <col min="1" max="1" width="61.00390625" style="97" customWidth="1"/>
    <col min="2" max="2" width="2.57421875" style="97" customWidth="1"/>
    <col min="3" max="3" width="11.57421875" style="97" customWidth="1"/>
    <col min="4" max="4" width="10.8515625" style="97" customWidth="1"/>
    <col min="5" max="5" width="11.8515625" style="97" customWidth="1"/>
    <col min="6" max="6" width="12.7109375" style="97" customWidth="1"/>
    <col min="7" max="7" width="11.8515625" style="97" customWidth="1"/>
    <col min="8" max="8" width="12.57421875" style="97" customWidth="1"/>
    <col min="9" max="9" width="11.85156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165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78</v>
      </c>
      <c r="D4" s="100"/>
      <c r="E4" s="101" t="s">
        <v>79</v>
      </c>
      <c r="F4" s="101"/>
      <c r="G4" s="101"/>
      <c r="H4" s="101"/>
      <c r="I4" s="101"/>
    </row>
    <row r="5" spans="1:9" ht="18.75" thickBot="1">
      <c r="A5" s="103" t="s">
        <v>80</v>
      </c>
      <c r="B5" s="103"/>
      <c r="C5" s="104" t="s">
        <v>81</v>
      </c>
      <c r="D5" s="100"/>
      <c r="E5" s="103" t="s">
        <v>82</v>
      </c>
      <c r="F5" s="103" t="s">
        <v>83</v>
      </c>
      <c r="G5" s="103" t="s">
        <v>84</v>
      </c>
      <c r="H5" s="103" t="s">
        <v>85</v>
      </c>
      <c r="I5" s="103" t="s">
        <v>86</v>
      </c>
    </row>
    <row r="6" spans="1:9" ht="19.5" thickTop="1">
      <c r="A6" s="105" t="s">
        <v>87</v>
      </c>
      <c r="B6" s="98"/>
      <c r="C6" s="99"/>
      <c r="D6" s="342" t="s">
        <v>374</v>
      </c>
      <c r="E6" s="98"/>
      <c r="F6" s="98"/>
      <c r="G6" s="98"/>
      <c r="H6" s="98"/>
      <c r="I6" s="98"/>
    </row>
    <row r="7" spans="1:9" ht="18">
      <c r="A7" s="106" t="s">
        <v>88</v>
      </c>
      <c r="B7" s="107"/>
      <c r="C7" s="108"/>
      <c r="D7" s="343"/>
      <c r="E7" s="107"/>
      <c r="F7" s="107"/>
      <c r="G7" s="107"/>
      <c r="H7" s="107"/>
      <c r="I7" s="110"/>
    </row>
    <row r="8" spans="1:9" ht="18">
      <c r="A8" s="111" t="s">
        <v>89</v>
      </c>
      <c r="B8" s="98"/>
      <c r="C8" s="112">
        <v>65</v>
      </c>
      <c r="D8" s="345">
        <v>80</v>
      </c>
      <c r="E8" s="98">
        <f>Sum!$D$13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90</v>
      </c>
      <c r="B9" s="98"/>
      <c r="C9" s="112">
        <v>351</v>
      </c>
      <c r="D9" s="345">
        <v>390</v>
      </c>
      <c r="E9" s="344">
        <v>5</v>
      </c>
      <c r="F9" s="344">
        <v>5</v>
      </c>
      <c r="G9" s="344">
        <v>5</v>
      </c>
      <c r="H9" s="344">
        <v>5</v>
      </c>
      <c r="I9" s="344">
        <v>5</v>
      </c>
    </row>
    <row r="10" spans="1:9" ht="18">
      <c r="A10" s="111" t="s">
        <v>91</v>
      </c>
      <c r="B10" s="98"/>
      <c r="C10" s="112">
        <f>134+44</f>
        <v>178</v>
      </c>
      <c r="D10" s="345">
        <v>400</v>
      </c>
      <c r="E10" s="98">
        <f>$E$8</f>
        <v>2.5</v>
      </c>
      <c r="F10" s="98">
        <f>$E$8</f>
        <v>2.5</v>
      </c>
      <c r="G10" s="98">
        <f>$E$8</f>
        <v>2.5</v>
      </c>
      <c r="H10" s="98">
        <f>$E$8</f>
        <v>2.5</v>
      </c>
      <c r="I10" s="113">
        <f>$E$8</f>
        <v>2.5</v>
      </c>
    </row>
    <row r="11" spans="1:9" ht="18">
      <c r="A11" s="114" t="s">
        <v>92</v>
      </c>
      <c r="B11" s="98"/>
      <c r="C11" s="115">
        <v>55</v>
      </c>
      <c r="D11" s="345">
        <v>219</v>
      </c>
      <c r="E11" s="344">
        <v>5</v>
      </c>
      <c r="F11" s="344">
        <v>5</v>
      </c>
      <c r="G11" s="344">
        <v>5</v>
      </c>
      <c r="H11" s="344">
        <v>5</v>
      </c>
      <c r="I11" s="344">
        <v>5</v>
      </c>
    </row>
    <row r="12" spans="1:9" ht="18">
      <c r="A12" s="114" t="s">
        <v>93</v>
      </c>
      <c r="B12" s="98"/>
      <c r="C12" s="115"/>
      <c r="D12" s="345"/>
      <c r="E12" s="98"/>
      <c r="F12" s="98"/>
      <c r="G12" s="98"/>
      <c r="H12" s="98"/>
      <c r="I12" s="113"/>
    </row>
    <row r="13" spans="1:9" ht="18">
      <c r="A13" s="111" t="s">
        <v>94</v>
      </c>
      <c r="B13" s="98"/>
      <c r="C13" s="115">
        <f>(1*80)</f>
        <v>80</v>
      </c>
      <c r="D13" s="345">
        <v>16</v>
      </c>
      <c r="E13" s="98">
        <f aca="true" t="shared" si="0" ref="E13:I15">$E$8</f>
        <v>2.5</v>
      </c>
      <c r="F13" s="98">
        <f t="shared" si="0"/>
        <v>2.5</v>
      </c>
      <c r="G13" s="98">
        <f t="shared" si="0"/>
        <v>2.5</v>
      </c>
      <c r="H13" s="98">
        <f t="shared" si="0"/>
        <v>2.5</v>
      </c>
      <c r="I13" s="113">
        <f t="shared" si="0"/>
        <v>2.5</v>
      </c>
    </row>
    <row r="14" spans="1:9" ht="18">
      <c r="A14" s="111" t="s">
        <v>90</v>
      </c>
      <c r="B14" s="98"/>
      <c r="C14" s="115">
        <f>(2*80)</f>
        <v>160</v>
      </c>
      <c r="D14" s="345">
        <v>190</v>
      </c>
      <c r="E14" s="344">
        <v>5</v>
      </c>
      <c r="F14" s="344">
        <v>5</v>
      </c>
      <c r="G14" s="344">
        <v>5</v>
      </c>
      <c r="H14" s="344">
        <v>5</v>
      </c>
      <c r="I14" s="344">
        <v>5</v>
      </c>
    </row>
    <row r="15" spans="1:9" ht="18">
      <c r="A15" s="111" t="s">
        <v>91</v>
      </c>
      <c r="B15" s="98"/>
      <c r="C15" s="115">
        <f>(2*80)</f>
        <v>160</v>
      </c>
      <c r="D15" s="345">
        <v>155</v>
      </c>
      <c r="E15" s="98">
        <f t="shared" si="0"/>
        <v>2.5</v>
      </c>
      <c r="F15" s="98">
        <f t="shared" si="0"/>
        <v>2.5</v>
      </c>
      <c r="G15" s="98">
        <f t="shared" si="0"/>
        <v>2.5</v>
      </c>
      <c r="H15" s="98">
        <f t="shared" si="0"/>
        <v>2.5</v>
      </c>
      <c r="I15" s="113">
        <f t="shared" si="0"/>
        <v>2.5</v>
      </c>
    </row>
    <row r="16" spans="1:9" ht="18">
      <c r="A16" s="116" t="s">
        <v>92</v>
      </c>
      <c r="B16" s="117"/>
      <c r="C16" s="118">
        <f>(1*80)</f>
        <v>80</v>
      </c>
      <c r="D16" s="346">
        <v>41</v>
      </c>
      <c r="E16" s="344">
        <v>5</v>
      </c>
      <c r="F16" s="344">
        <v>5</v>
      </c>
      <c r="G16" s="344">
        <v>5</v>
      </c>
      <c r="H16" s="344">
        <v>5</v>
      </c>
      <c r="I16" s="344">
        <v>5</v>
      </c>
    </row>
    <row r="17" spans="1:9" ht="18.75" thickBot="1">
      <c r="A17" s="368" t="s">
        <v>375</v>
      </c>
      <c r="B17" s="369"/>
      <c r="C17" s="118"/>
      <c r="D17" s="346">
        <v>131</v>
      </c>
      <c r="E17" s="80"/>
      <c r="F17" s="80"/>
      <c r="G17" s="80"/>
      <c r="H17" s="80"/>
      <c r="I17" s="82"/>
    </row>
    <row r="18" spans="1:9" ht="19.5" thickBot="1" thickTop="1">
      <c r="A18" s="83" t="s">
        <v>95</v>
      </c>
      <c r="E18" s="347">
        <f>+E8*$D$8+E9*$D$9+E10*$D$10+E11*$D$11+E13*$D$13+E14*$D$14+E15*$D$15+E16*$D$16+$D$17</f>
        <v>5958.5</v>
      </c>
      <c r="F18" s="347">
        <f>+F8*$D$8+F9*$D$9+F10*$D$10+F11*$D$11+F13*$D$13+F14*$D$14+F15*$D$15+F16*$D$16+$D$17</f>
        <v>5958.5</v>
      </c>
      <c r="G18" s="347">
        <f>+G8*$D$8+G9*$D$9+G10*$D$10+G11*$D$11+G13*$D$13+G14*$D$14+G15*$D$15+G16*$D$16+$D$17</f>
        <v>5958.5</v>
      </c>
      <c r="H18" s="347">
        <f>+H8*$D$8+H9*$D$9+H10*$D$10+H11*$D$11+H13*$D$13+H14*$D$14+H15*$D$15+H16*$D$16+$D$17</f>
        <v>5958.5</v>
      </c>
      <c r="I18" s="347">
        <f>+I8*$D$8+I9*$D$9+I10*$D$10+I11*$D$11+I13*$D$13+I14*$D$14+I15*$D$15+I16*$D$16+$D$17</f>
        <v>5958.5</v>
      </c>
    </row>
    <row r="19" spans="1:9" ht="19.5" thickBot="1" thickTop="1">
      <c r="A19" s="86" t="s">
        <v>96</v>
      </c>
      <c r="B19" s="87"/>
      <c r="C19" s="87"/>
      <c r="D19" s="87"/>
      <c r="E19" s="347">
        <f>E18*$C$112</f>
        <v>2396.0010574018106</v>
      </c>
      <c r="F19" s="348">
        <f>F18*$C$112</f>
        <v>2396.0010574018106</v>
      </c>
      <c r="G19" s="348">
        <f>G18*$C$112</f>
        <v>2396.0010574018106</v>
      </c>
      <c r="H19" s="348">
        <f>H18*$C$112</f>
        <v>2396.0010574018106</v>
      </c>
      <c r="I19" s="348">
        <f>I18*$C$112</f>
        <v>2396.0010574018106</v>
      </c>
    </row>
    <row r="20" spans="1:9" ht="19.5" thickBot="1" thickTop="1">
      <c r="A20" s="100"/>
      <c r="B20" s="98"/>
      <c r="C20" s="88"/>
      <c r="D20" s="100"/>
      <c r="E20" s="349" t="s">
        <v>97</v>
      </c>
      <c r="F20" s="350">
        <f>AVERAGE(E18:I18)</f>
        <v>5958.5</v>
      </c>
      <c r="G20" s="351" t="s">
        <v>98</v>
      </c>
      <c r="H20" s="352"/>
      <c r="I20" s="353">
        <f>AVERAGE(E19:I19)</f>
        <v>2396.0010574018106</v>
      </c>
    </row>
    <row r="21" spans="1:9" ht="19.5" thickTop="1">
      <c r="A21" s="105" t="s">
        <v>99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100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101</v>
      </c>
      <c r="B23" s="98"/>
      <c r="C23" s="112">
        <f>'GDF 3'!C23</f>
        <v>200</v>
      </c>
      <c r="D23" s="100"/>
      <c r="E23" s="65">
        <f>Sum!$G$14</f>
        <v>9.75</v>
      </c>
      <c r="F23" s="9">
        <f>$E$23</f>
        <v>9.75</v>
      </c>
      <c r="G23" s="9"/>
      <c r="H23" s="9"/>
      <c r="I23" s="10"/>
    </row>
    <row r="24" spans="1:9" ht="18">
      <c r="A24" s="114" t="s">
        <v>102</v>
      </c>
      <c r="B24" s="98"/>
      <c r="C24" s="112">
        <f>'GDF 3'!C24</f>
        <v>231.25</v>
      </c>
      <c r="D24" s="100"/>
      <c r="E24" s="9"/>
      <c r="F24" s="9"/>
      <c r="G24" s="9">
        <f>$E$23</f>
        <v>9.75</v>
      </c>
      <c r="H24" s="9"/>
      <c r="I24" s="10"/>
    </row>
    <row r="25" spans="1:9" ht="18">
      <c r="A25" s="114" t="s">
        <v>103</v>
      </c>
      <c r="B25" s="98"/>
      <c r="C25" s="112">
        <f>'GDF 3'!C25</f>
        <v>208.83</v>
      </c>
      <c r="D25" s="100"/>
      <c r="E25" s="9"/>
      <c r="F25" s="9"/>
      <c r="G25" s="9"/>
      <c r="H25" s="9">
        <f>$E$23</f>
        <v>9.75</v>
      </c>
      <c r="I25" s="10"/>
    </row>
    <row r="26" spans="1:9" ht="18">
      <c r="A26" s="114" t="s">
        <v>104</v>
      </c>
      <c r="B26" s="98"/>
      <c r="C26" s="112">
        <f>'GDF 3'!C26</f>
        <v>224.78</v>
      </c>
      <c r="D26" s="100"/>
      <c r="E26" s="9"/>
      <c r="F26" s="9"/>
      <c r="G26" s="9"/>
      <c r="H26" s="9"/>
      <c r="I26" s="10">
        <f>$E$23</f>
        <v>9.75</v>
      </c>
    </row>
    <row r="27" spans="1:9" ht="18">
      <c r="A27" s="114" t="s">
        <v>105</v>
      </c>
      <c r="B27" s="98"/>
      <c r="C27" s="112">
        <f>'GDF 3'!C27</f>
        <v>381.82</v>
      </c>
      <c r="D27" s="100"/>
      <c r="E27" s="9">
        <f>E$23</f>
        <v>9.75</v>
      </c>
      <c r="F27" s="9">
        <f>F$23</f>
        <v>9.75</v>
      </c>
      <c r="G27" s="9"/>
      <c r="H27" s="9"/>
      <c r="I27" s="10"/>
    </row>
    <row r="28" spans="1:9" ht="18">
      <c r="A28" s="114" t="s">
        <v>106</v>
      </c>
      <c r="B28" s="98"/>
      <c r="C28" s="112">
        <f>'GDF 3'!C28</f>
        <v>467.87</v>
      </c>
      <c r="D28" s="100"/>
      <c r="E28" s="9"/>
      <c r="F28" s="9"/>
      <c r="G28" s="9">
        <f>G$24</f>
        <v>9.75</v>
      </c>
      <c r="H28" s="9"/>
      <c r="I28" s="10"/>
    </row>
    <row r="29" spans="1:9" ht="18">
      <c r="A29" s="114" t="s">
        <v>107</v>
      </c>
      <c r="B29" s="98"/>
      <c r="C29" s="112">
        <f>'GDF 3'!C29</f>
        <v>400.11</v>
      </c>
      <c r="D29" s="100"/>
      <c r="E29" s="9"/>
      <c r="F29" s="9"/>
      <c r="G29" s="9"/>
      <c r="H29" s="9">
        <f>H$25</f>
        <v>9.75</v>
      </c>
      <c r="I29" s="10"/>
    </row>
    <row r="30" spans="1:9" ht="18">
      <c r="A30" s="114" t="s">
        <v>108</v>
      </c>
      <c r="B30" s="98"/>
      <c r="C30" s="112">
        <f>'GDF 3'!C30</f>
        <v>220.49</v>
      </c>
      <c r="D30" s="100"/>
      <c r="E30" s="9"/>
      <c r="F30" s="9"/>
      <c r="G30" s="9"/>
      <c r="H30" s="9"/>
      <c r="I30" s="10">
        <f>I$26</f>
        <v>9.75</v>
      </c>
    </row>
    <row r="31" spans="1:9" ht="18">
      <c r="A31" s="114" t="s">
        <v>109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110</v>
      </c>
      <c r="B32" s="98"/>
      <c r="C32" s="112">
        <f>'GDF 3'!C32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111</v>
      </c>
      <c r="B33" s="98"/>
      <c r="C33" s="112">
        <f>'GDF 3'!C33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112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113</v>
      </c>
      <c r="B35" s="98"/>
      <c r="C35" s="112">
        <f>'GDF 3'!C35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93</v>
      </c>
      <c r="B36" s="98"/>
      <c r="C36" s="112"/>
      <c r="D36" s="293" t="s">
        <v>263</v>
      </c>
      <c r="E36" s="9"/>
      <c r="F36" s="9"/>
      <c r="G36" s="9"/>
      <c r="H36" s="9"/>
      <c r="I36" s="10"/>
    </row>
    <row r="37" spans="1:9" ht="18">
      <c r="A37" s="114" t="s">
        <v>101</v>
      </c>
      <c r="B37" s="98"/>
      <c r="C37" s="299">
        <f>2*D37</f>
        <v>172.08</v>
      </c>
      <c r="D37" s="112">
        <f>'GDF 3'!B37</f>
        <v>86.04</v>
      </c>
      <c r="E37" s="9">
        <f>E$23</f>
        <v>9.75</v>
      </c>
      <c r="F37" s="9">
        <f>F$23</f>
        <v>9.75</v>
      </c>
      <c r="G37" s="9"/>
      <c r="H37" s="9"/>
      <c r="I37" s="10"/>
    </row>
    <row r="38" spans="1:9" ht="18">
      <c r="A38" s="114" t="s">
        <v>102</v>
      </c>
      <c r="B38" s="98"/>
      <c r="C38" s="299">
        <f aca="true" t="shared" si="1" ref="C38:C47">2*D38</f>
        <v>215.12</v>
      </c>
      <c r="D38" s="112">
        <f>'GDF 3'!B38</f>
        <v>107.56</v>
      </c>
      <c r="E38" s="9"/>
      <c r="F38" s="9"/>
      <c r="G38" s="9">
        <f>G$24</f>
        <v>9.75</v>
      </c>
      <c r="H38" s="9"/>
      <c r="I38" s="10"/>
    </row>
    <row r="39" spans="1:9" ht="18">
      <c r="A39" s="114" t="s">
        <v>103</v>
      </c>
      <c r="B39" s="98"/>
      <c r="C39" s="299">
        <f t="shared" si="1"/>
        <v>96.8</v>
      </c>
      <c r="D39" s="112">
        <f>'GDF 3'!B39</f>
        <v>48.4</v>
      </c>
      <c r="E39" s="9"/>
      <c r="F39" s="9"/>
      <c r="G39" s="9"/>
      <c r="H39" s="9">
        <f>H$25</f>
        <v>9.75</v>
      </c>
      <c r="I39" s="10"/>
    </row>
    <row r="40" spans="1:9" ht="18">
      <c r="A40" s="114" t="s">
        <v>104</v>
      </c>
      <c r="B40" s="98"/>
      <c r="C40" s="299">
        <f t="shared" si="1"/>
        <v>107.56</v>
      </c>
      <c r="D40" s="112">
        <f>'GDF 3'!B40</f>
        <v>53.78</v>
      </c>
      <c r="E40" s="9"/>
      <c r="F40" s="9"/>
      <c r="G40" s="9"/>
      <c r="H40" s="9"/>
      <c r="I40" s="10">
        <f>I$26</f>
        <v>9.75</v>
      </c>
    </row>
    <row r="41" spans="1:9" ht="18">
      <c r="A41" s="114" t="s">
        <v>105</v>
      </c>
      <c r="B41" s="68"/>
      <c r="C41" s="299">
        <f t="shared" si="1"/>
        <v>344.16</v>
      </c>
      <c r="D41" s="112">
        <f>'GDF 3'!B41</f>
        <v>172.08</v>
      </c>
      <c r="E41" s="9">
        <f>E$23</f>
        <v>9.75</v>
      </c>
      <c r="F41" s="9">
        <f>F$23</f>
        <v>9.75</v>
      </c>
      <c r="G41" s="9"/>
      <c r="H41" s="9"/>
      <c r="I41" s="10"/>
    </row>
    <row r="42" spans="1:9" ht="18">
      <c r="A42" s="114" t="s">
        <v>106</v>
      </c>
      <c r="B42" s="68"/>
      <c r="C42" s="299">
        <f t="shared" si="1"/>
        <v>430.24</v>
      </c>
      <c r="D42" s="112">
        <f>'GDF 3'!B42</f>
        <v>215.12</v>
      </c>
      <c r="E42" s="9"/>
      <c r="F42" s="9"/>
      <c r="G42" s="9">
        <f>G$24</f>
        <v>9.75</v>
      </c>
      <c r="H42" s="9"/>
      <c r="I42" s="10"/>
    </row>
    <row r="43" spans="1:9" ht="18">
      <c r="A43" s="114" t="s">
        <v>107</v>
      </c>
      <c r="B43" s="68"/>
      <c r="C43" s="299">
        <f t="shared" si="1"/>
        <v>193.6</v>
      </c>
      <c r="D43" s="112">
        <f>'GDF 3'!B43</f>
        <v>96.8</v>
      </c>
      <c r="E43" s="9"/>
      <c r="F43" s="9"/>
      <c r="G43" s="9"/>
      <c r="H43" s="9">
        <f>H$25</f>
        <v>9.75</v>
      </c>
      <c r="I43" s="10"/>
    </row>
    <row r="44" spans="1:9" ht="18">
      <c r="A44" s="114" t="s">
        <v>108</v>
      </c>
      <c r="B44" s="68"/>
      <c r="C44" s="299">
        <f t="shared" si="1"/>
        <v>215.12</v>
      </c>
      <c r="D44" s="112">
        <f>'GDF 3'!B44</f>
        <v>107.56</v>
      </c>
      <c r="E44" s="9"/>
      <c r="F44" s="9"/>
      <c r="G44" s="9"/>
      <c r="H44" s="9"/>
      <c r="I44" s="10">
        <f>I$26</f>
        <v>9.75</v>
      </c>
    </row>
    <row r="45" spans="1:9" ht="18">
      <c r="A45" s="114" t="s">
        <v>114</v>
      </c>
      <c r="B45" s="98"/>
      <c r="C45" s="299">
        <f t="shared" si="1"/>
        <v>3011.56</v>
      </c>
      <c r="D45" s="112">
        <f>'GDF 3'!B45</f>
        <v>1505.78</v>
      </c>
      <c r="E45" s="9"/>
      <c r="F45" s="9"/>
      <c r="G45" s="9"/>
      <c r="H45" s="9">
        <v>1</v>
      </c>
      <c r="I45" s="10"/>
    </row>
    <row r="46" spans="1:9" ht="18">
      <c r="A46" s="114" t="s">
        <v>115</v>
      </c>
      <c r="B46" s="98"/>
      <c r="C46" s="299">
        <f t="shared" si="1"/>
        <v>2581.34</v>
      </c>
      <c r="D46" s="112">
        <f>'GDF 3'!B46</f>
        <v>1290.67</v>
      </c>
      <c r="E46" s="9"/>
      <c r="F46" s="9"/>
      <c r="G46" s="9"/>
      <c r="H46" s="9"/>
      <c r="I46" s="10">
        <v>1</v>
      </c>
    </row>
    <row r="47" spans="1:9" ht="18">
      <c r="A47" s="116" t="s">
        <v>116</v>
      </c>
      <c r="B47" s="117"/>
      <c r="C47" s="299">
        <f t="shared" si="1"/>
        <v>3012</v>
      </c>
      <c r="D47" s="112">
        <f>'GDF 3'!B47</f>
        <v>1506</v>
      </c>
      <c r="E47" s="11">
        <v>1</v>
      </c>
      <c r="F47" s="11">
        <v>1</v>
      </c>
      <c r="G47" s="11">
        <v>1</v>
      </c>
      <c r="H47" s="11"/>
      <c r="I47" s="12"/>
    </row>
    <row r="48" spans="1:9" ht="18.75" thickBot="1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9.5" thickBot="1" thickTop="1">
      <c r="A49" s="83" t="s">
        <v>117</v>
      </c>
      <c r="B49" s="68"/>
      <c r="C49" s="115"/>
      <c r="D49" s="100"/>
      <c r="E49" s="118">
        <f>+$C$23*E23+$C$24*E24+$C$25*E25+$C$26*E26+$C$27*E27+$C$28*E28+$C$29*E29+$C$30*E30+$C$32*E32+$C$33*E33+$C$35*E35+$C$37*E37+$C$38*E38+$C$39*E39+$C$40*E40+$C$41*E41+$C$42*E42+$C$43*E43+$C$44*E44+$C$45*E45+$C$46*E46+$C$47*E47</f>
        <v>21218.085</v>
      </c>
      <c r="F49" s="118">
        <f>+$C$23*F23+$C$24*F24+$C$25*F25+$C$26*F26+$C$27*F27+$C$28*F28+$C$29*F29+$C$30*F30+$C$32*F32+$C$33*F33+$C$35*F35+$C$37*F37+$C$38*F38+$C$39*F39+$C$40*F40+$C$41*F41+$C$42*F42+$C$43*F43+$C$44*F44+$C$45*F45+$C$46*F46+$C$47*F47</f>
        <v>21218.085</v>
      </c>
      <c r="G49" s="118">
        <f>+$C$23*G23+$C$24*G24+$C$25*G25+$C$26*G26+$C$27*G27+$C$28*G28+$C$29*G29+$C$30*G30+$C$32*G32+$C$33*G33+$C$35*G35+$C$37*G37+$C$38*G38+$C$39*G39+$C$40*G40+$C$41*G41+$C$42*G42+$C$43*G43+$C$44*G44+$C$45*G45+$C$46*G46+$C$47*G47</f>
        <v>23620.68</v>
      </c>
      <c r="H49" s="118">
        <f>+$C$23*H23+$C$24*H24+$C$25*H25+$C$26*H26+$C$27*H27+$C$28*H28+$C$29*H29+$C$30*H30+$C$32*H32+$C$33*H33+$C$35*H35+$C$37*H37+$C$38*H38+$C$39*H39+$C$40*H40+$C$41*H41+$C$42*H42+$C$43*H43+$C$44*H44+$C$45*H45+$C$46*H46+$C$47*H47</f>
        <v>19280.125</v>
      </c>
      <c r="I49" s="118">
        <f>+$C$23*I23+$C$24*I24+$C$25*I25+$C$26*I26+$C$27*I27+$C$28*I28+$C$29*I29+$C$30*I30+$C$32*I32+$C$33*I33+$C$35*I35+$C$37*I37+$C$38*I38+$C$39*I39+$C$40*I40+$C$41*I41+$C$42*I42+$C$43*I43+$C$44*I44+$C$45*I45+$C$46*I46+$C$47*I47</f>
        <v>19068.852499999997</v>
      </c>
    </row>
    <row r="50" spans="1:9" ht="18.75" thickTop="1">
      <c r="A50" s="114" t="s">
        <v>118</v>
      </c>
      <c r="B50" s="68"/>
      <c r="C50" s="115"/>
      <c r="D50" s="100"/>
      <c r="E50" s="115">
        <v>2788.89</v>
      </c>
      <c r="F50" s="115">
        <v>2788.89</v>
      </c>
      <c r="G50" s="115">
        <v>3303.3975</v>
      </c>
      <c r="H50" s="115">
        <v>2507.9925000000003</v>
      </c>
      <c r="I50" s="73">
        <v>2715.96</v>
      </c>
    </row>
    <row r="51" spans="1:9" ht="18">
      <c r="A51" s="114" t="s">
        <v>119</v>
      </c>
      <c r="B51" s="68"/>
      <c r="C51" s="115"/>
      <c r="D51" s="100"/>
      <c r="E51" s="115">
        <v>5400.525</v>
      </c>
      <c r="F51" s="115">
        <v>5400.525</v>
      </c>
      <c r="G51" s="115">
        <v>6659.1525</v>
      </c>
      <c r="H51" s="115">
        <v>4844.8725</v>
      </c>
      <c r="I51" s="73">
        <v>3198.4875</v>
      </c>
    </row>
    <row r="52" spans="1:9" ht="18">
      <c r="A52" s="114" t="s">
        <v>120</v>
      </c>
      <c r="B52" s="68"/>
      <c r="C52" s="115"/>
      <c r="D52" s="100"/>
      <c r="E52" s="74">
        <f>E49-E50-E51</f>
        <v>13028.67</v>
      </c>
      <c r="F52" s="74">
        <f>F49-F50-F51</f>
        <v>13028.67</v>
      </c>
      <c r="G52" s="74">
        <f>G49-G50-G51</f>
        <v>13658.130000000001</v>
      </c>
      <c r="H52" s="74">
        <f>H49-H50-H51</f>
        <v>11927.259999999998</v>
      </c>
      <c r="I52" s="75">
        <f>I49-I50-I51</f>
        <v>13154.404999999999</v>
      </c>
    </row>
    <row r="53" spans="1:9" ht="18">
      <c r="A53" s="114" t="s">
        <v>121</v>
      </c>
      <c r="B53" s="68"/>
      <c r="C53" s="115"/>
      <c r="D53" s="100"/>
      <c r="E53" s="115">
        <f>E50*$C$112</f>
        <v>1121.4539546827784</v>
      </c>
      <c r="F53" s="115">
        <f>F50*$C$112</f>
        <v>1121.4539546827784</v>
      </c>
      <c r="G53" s="115">
        <f>G50*$C$112</f>
        <v>1328.3450370090625</v>
      </c>
      <c r="H53" s="115">
        <f>H50*$C$112</f>
        <v>1008.5009116314193</v>
      </c>
      <c r="I53" s="73">
        <f>I50*$C$112</f>
        <v>1092.1277220543798</v>
      </c>
    </row>
    <row r="54" spans="1:9" ht="18">
      <c r="A54" s="114" t="s">
        <v>122</v>
      </c>
      <c r="B54" s="68"/>
      <c r="C54" s="115"/>
      <c r="D54" s="100"/>
      <c r="E54" s="115">
        <f>E51*$C$111</f>
        <v>1109.2975362705588</v>
      </c>
      <c r="F54" s="115">
        <f>F51*$C$111</f>
        <v>1109.2975362705588</v>
      </c>
      <c r="G54" s="115">
        <f>G51*$C$111</f>
        <v>1367.8265468449704</v>
      </c>
      <c r="H54" s="115">
        <f>H51*$C$111</f>
        <v>995.1634568481738</v>
      </c>
      <c r="I54" s="73">
        <f>I51*$C$111</f>
        <v>656.9869232236088</v>
      </c>
    </row>
    <row r="55" spans="1:9" ht="18">
      <c r="A55" s="114" t="s">
        <v>123</v>
      </c>
      <c r="B55" s="68"/>
      <c r="C55" s="115"/>
      <c r="D55" s="100"/>
      <c r="E55" s="76">
        <f>E52*$C$110</f>
        <v>2120.3560439439316</v>
      </c>
      <c r="F55" s="77">
        <f>F52*$C$110</f>
        <v>2120.3560439439316</v>
      </c>
      <c r="G55" s="77">
        <f>G52*$C$110</f>
        <v>2222.7977602066776</v>
      </c>
      <c r="H55" s="77">
        <f>H52*$C$110</f>
        <v>1941.1066385663844</v>
      </c>
      <c r="I55" s="51">
        <f>I52*$C$110</f>
        <v>2140.8188361694843</v>
      </c>
    </row>
    <row r="56" spans="1:9" ht="18">
      <c r="A56" s="86" t="s">
        <v>124</v>
      </c>
      <c r="B56" s="52"/>
      <c r="C56" s="74"/>
      <c r="D56" s="53"/>
      <c r="E56" s="54">
        <f>SUM(E53:E55)</f>
        <v>4351.107534897269</v>
      </c>
      <c r="F56" s="55">
        <f>SUM(F53:F55)</f>
        <v>4351.107534897269</v>
      </c>
      <c r="G56" s="55">
        <f>SUM(G53:G55)</f>
        <v>4918.969344060711</v>
      </c>
      <c r="H56" s="55">
        <f>SUM(H53:H55)</f>
        <v>3944.7710070459775</v>
      </c>
      <c r="I56" s="55">
        <f>SUM(I53:I55)</f>
        <v>3889.933481447473</v>
      </c>
    </row>
    <row r="57" spans="1:9" ht="18">
      <c r="A57" s="100"/>
      <c r="B57" s="68"/>
      <c r="C57" s="88"/>
      <c r="D57" s="100"/>
      <c r="E57" s="89" t="s">
        <v>97</v>
      </c>
      <c r="F57" s="90">
        <f>AVERAGE(E49:I49)</f>
        <v>20881.1655</v>
      </c>
      <c r="G57" s="91" t="s">
        <v>98</v>
      </c>
      <c r="H57" s="92"/>
      <c r="I57" s="62">
        <f>AVERAGE(E56:I56)</f>
        <v>4291.177780469739</v>
      </c>
    </row>
    <row r="58" spans="1:9" ht="18.75">
      <c r="A58" s="105" t="s">
        <v>125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126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127</v>
      </c>
      <c r="B60" s="98"/>
      <c r="C60" s="112">
        <f>'GDF 3'!C60</f>
        <v>54.20125</v>
      </c>
      <c r="D60" s="100"/>
      <c r="E60" s="56"/>
      <c r="F60" s="56"/>
      <c r="G60" s="56"/>
      <c r="H60" s="56">
        <f>$E$23</f>
        <v>9.75</v>
      </c>
      <c r="I60" s="57">
        <f>$E$23</f>
        <v>9.75</v>
      </c>
    </row>
    <row r="61" spans="1:9" ht="18">
      <c r="A61" s="114" t="s">
        <v>128</v>
      </c>
      <c r="B61" s="98"/>
      <c r="E61" s="58"/>
      <c r="F61" s="58"/>
      <c r="G61" s="58"/>
      <c r="H61" s="58"/>
      <c r="I61" s="59"/>
    </row>
    <row r="62" spans="1:9" ht="18">
      <c r="A62" s="114" t="s">
        <v>129</v>
      </c>
      <c r="B62" s="98"/>
      <c r="C62" s="115"/>
      <c r="D62" s="100"/>
      <c r="E62" s="56"/>
      <c r="F62" s="56"/>
      <c r="G62" s="56"/>
      <c r="H62" s="56"/>
      <c r="I62" s="57"/>
    </row>
    <row r="63" spans="1:9" ht="18">
      <c r="A63" s="111" t="s">
        <v>130</v>
      </c>
      <c r="B63" s="98"/>
      <c r="C63" s="112">
        <f>'GDF 3'!C63</f>
        <v>200</v>
      </c>
      <c r="D63" s="100"/>
      <c r="E63" s="41">
        <f>Sum!$G$15</f>
        <v>9</v>
      </c>
      <c r="F63" s="56">
        <f>$E$63</f>
        <v>9</v>
      </c>
      <c r="G63" s="56">
        <f>$E$63</f>
        <v>9</v>
      </c>
      <c r="H63" s="56"/>
      <c r="I63" s="57"/>
    </row>
    <row r="64" spans="1:9" ht="18">
      <c r="A64" s="111" t="s">
        <v>131</v>
      </c>
      <c r="B64" s="98"/>
      <c r="C64" s="112"/>
      <c r="D64" s="100"/>
      <c r="E64" s="56"/>
      <c r="F64" s="56"/>
      <c r="G64" s="56"/>
      <c r="H64" s="56"/>
      <c r="I64" s="57"/>
    </row>
    <row r="65" spans="1:9" ht="18">
      <c r="A65" s="114" t="s">
        <v>93</v>
      </c>
      <c r="B65" s="98"/>
      <c r="C65" s="115"/>
      <c r="D65" s="100"/>
      <c r="E65" s="56"/>
      <c r="F65" s="56"/>
      <c r="G65" s="56"/>
      <c r="H65" s="56"/>
      <c r="I65" s="57"/>
    </row>
    <row r="66" spans="1:9" ht="18">
      <c r="A66" s="111" t="s">
        <v>132</v>
      </c>
      <c r="B66" s="98"/>
      <c r="C66" s="112">
        <f>'GDF 3'!C66</f>
        <v>160</v>
      </c>
      <c r="D66" s="100"/>
      <c r="E66" s="56"/>
      <c r="F66" s="56"/>
      <c r="G66" s="56"/>
      <c r="H66" s="56">
        <f>$E$23</f>
        <v>9.75</v>
      </c>
      <c r="I66" s="57">
        <f>$E$23</f>
        <v>9.75</v>
      </c>
    </row>
    <row r="67" spans="1:9" ht="18">
      <c r="A67" s="42" t="s">
        <v>130</v>
      </c>
      <c r="B67" s="117"/>
      <c r="C67" s="112">
        <f>'GDF 3'!C67</f>
        <v>160</v>
      </c>
      <c r="D67" s="81"/>
      <c r="E67" s="56">
        <f>$E$63</f>
        <v>9</v>
      </c>
      <c r="F67" s="56">
        <f>$E$63</f>
        <v>9</v>
      </c>
      <c r="G67" s="56">
        <f>$E$63</f>
        <v>9</v>
      </c>
      <c r="H67" s="43"/>
      <c r="I67" s="44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133</v>
      </c>
      <c r="B69" s="68"/>
      <c r="C69" s="115"/>
      <c r="D69" s="100"/>
      <c r="E69" s="84">
        <v>3240</v>
      </c>
      <c r="F69" s="85">
        <v>3240</v>
      </c>
      <c r="G69" s="85">
        <v>3240</v>
      </c>
      <c r="H69" s="85">
        <v>2088.4621875000003</v>
      </c>
      <c r="I69" s="85">
        <v>2088.4621875000003</v>
      </c>
    </row>
    <row r="70" spans="1:9" ht="18">
      <c r="A70" s="114" t="s">
        <v>134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2088.4621875000003</v>
      </c>
      <c r="I70" s="73">
        <v>2088.4621875000003</v>
      </c>
    </row>
    <row r="71" spans="1:9" ht="18">
      <c r="A71" s="114" t="s">
        <v>135</v>
      </c>
      <c r="B71" s="68"/>
      <c r="C71" s="115"/>
      <c r="D71" s="100"/>
      <c r="E71" s="74">
        <v>3240</v>
      </c>
      <c r="F71" s="74">
        <v>3240</v>
      </c>
      <c r="G71" s="74">
        <v>3240</v>
      </c>
      <c r="H71" s="74">
        <v>0</v>
      </c>
      <c r="I71" s="75">
        <v>0</v>
      </c>
    </row>
    <row r="72" spans="1:9" ht="18">
      <c r="A72" s="114" t="s">
        <v>136</v>
      </c>
      <c r="B72" s="68"/>
      <c r="C72" s="115"/>
      <c r="D72" s="100"/>
      <c r="E72" s="115">
        <f>E70*$C112</f>
        <v>0</v>
      </c>
      <c r="F72" s="115">
        <f>F70*$C112</f>
        <v>0</v>
      </c>
      <c r="G72" s="115">
        <f>G70*$C112</f>
        <v>0</v>
      </c>
      <c r="H72" s="115">
        <f>H70*$C112</f>
        <v>839.8015624055886</v>
      </c>
      <c r="I72" s="73">
        <f>I70*$C112</f>
        <v>839.8015624055886</v>
      </c>
    </row>
    <row r="73" spans="1:9" ht="18">
      <c r="A73" s="114" t="s">
        <v>137</v>
      </c>
      <c r="B73" s="68"/>
      <c r="C73" s="115"/>
      <c r="D73" s="100"/>
      <c r="E73" s="115">
        <f>E71*$C111</f>
        <v>665.5138190299297</v>
      </c>
      <c r="F73" s="115">
        <f>F71*$C111</f>
        <v>665.5138190299297</v>
      </c>
      <c r="G73" s="115">
        <f>G71*$C111</f>
        <v>665.5138190299297</v>
      </c>
      <c r="H73" s="115">
        <f>H71*$C111</f>
        <v>0</v>
      </c>
      <c r="I73" s="73">
        <f>I71*$C111</f>
        <v>0</v>
      </c>
    </row>
    <row r="74" spans="1:9" ht="18">
      <c r="A74" s="86" t="s">
        <v>138</v>
      </c>
      <c r="B74" s="47"/>
      <c r="C74" s="74"/>
      <c r="D74" s="53"/>
      <c r="E74" s="48">
        <f>SUM(E72:E73)</f>
        <v>665.5138190299297</v>
      </c>
      <c r="F74" s="49">
        <f>SUM(F72:F73)</f>
        <v>665.5138190299297</v>
      </c>
      <c r="G74" s="49">
        <f>SUM(G72:G73)</f>
        <v>665.5138190299297</v>
      </c>
      <c r="H74" s="49">
        <f>SUM(H72:H73)</f>
        <v>839.8015624055886</v>
      </c>
      <c r="I74" s="49">
        <f>SUM(I72:I73)</f>
        <v>839.8015624055886</v>
      </c>
    </row>
    <row r="75" spans="1:9" ht="18">
      <c r="A75" s="100"/>
      <c r="B75" s="98"/>
      <c r="C75" s="88"/>
      <c r="D75" s="100"/>
      <c r="E75" s="89" t="s">
        <v>97</v>
      </c>
      <c r="F75" s="90">
        <f>AVERAGE(E69:I69)</f>
        <v>2779.3848750000006</v>
      </c>
      <c r="G75" s="91" t="s">
        <v>98</v>
      </c>
      <c r="H75" s="92"/>
      <c r="I75" s="62">
        <f>AVERAGE(E74:I74)</f>
        <v>735.2289163801931</v>
      </c>
    </row>
    <row r="76" spans="1:9" ht="18.75">
      <c r="A76" s="105" t="s">
        <v>139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140</v>
      </c>
      <c r="B77" s="107"/>
      <c r="C77" s="64">
        <f>'GDF 3'!C77</f>
        <v>54.05375</v>
      </c>
      <c r="D77" s="109"/>
      <c r="E77" s="17">
        <f>$E$23</f>
        <v>9.75</v>
      </c>
      <c r="F77" s="17">
        <f>$E$23</f>
        <v>9.75</v>
      </c>
      <c r="G77" s="17">
        <f>$E$23</f>
        <v>9.75</v>
      </c>
      <c r="H77" s="17">
        <f>$E$23</f>
        <v>9.75</v>
      </c>
      <c r="I77" s="18">
        <f>$E$23</f>
        <v>9.75</v>
      </c>
    </row>
    <row r="78" spans="1:9" ht="18">
      <c r="A78" s="42" t="s">
        <v>141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142</v>
      </c>
      <c r="B80" s="68"/>
      <c r="C80" s="112"/>
      <c r="D80" s="100"/>
      <c r="E80" s="84">
        <v>527.0240625</v>
      </c>
      <c r="F80" s="85">
        <v>527.0240625</v>
      </c>
      <c r="G80" s="85">
        <v>527.0240625</v>
      </c>
      <c r="H80" s="85">
        <v>527.0240625</v>
      </c>
      <c r="I80" s="85">
        <v>527.0240625</v>
      </c>
    </row>
    <row r="81" spans="1:9" ht="18">
      <c r="A81" s="86" t="s">
        <v>143</v>
      </c>
      <c r="B81" s="47"/>
      <c r="C81" s="27"/>
      <c r="D81" s="53"/>
      <c r="E81" s="48">
        <f>E80*$C112</f>
        <v>211.92417739803608</v>
      </c>
      <c r="F81" s="49">
        <f>F80*$C112</f>
        <v>211.92417739803608</v>
      </c>
      <c r="G81" s="49">
        <f>G80*$C112</f>
        <v>211.92417739803608</v>
      </c>
      <c r="H81" s="49">
        <f>H80*$C112</f>
        <v>211.92417739803608</v>
      </c>
      <c r="I81" s="49">
        <f>I80*$C112</f>
        <v>211.92417739803608</v>
      </c>
    </row>
    <row r="82" spans="1:9" ht="18">
      <c r="A82" s="100"/>
      <c r="B82" s="98"/>
      <c r="C82" s="88"/>
      <c r="D82" s="100"/>
      <c r="E82" s="89" t="s">
        <v>97</v>
      </c>
      <c r="F82" s="90">
        <f>AVERAGE(E80:I80)</f>
        <v>527.0240625</v>
      </c>
      <c r="G82" s="91" t="s">
        <v>98</v>
      </c>
      <c r="H82" s="92"/>
      <c r="I82" s="62">
        <f>AVERAGE(E81:I81)</f>
        <v>211.92417739803608</v>
      </c>
    </row>
    <row r="83" spans="1:9" ht="18.75">
      <c r="A83" s="105" t="s">
        <v>144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140</v>
      </c>
      <c r="B84" s="107"/>
      <c r="C84" s="64">
        <f>'GDF 3'!C84</f>
        <v>54.05375</v>
      </c>
      <c r="D84" s="109"/>
      <c r="E84" s="17">
        <f>$E$23</f>
        <v>9.75</v>
      </c>
      <c r="F84" s="17">
        <f>$E$23</f>
        <v>9.75</v>
      </c>
      <c r="G84" s="17">
        <f>$E$23</f>
        <v>9.75</v>
      </c>
      <c r="H84" s="17">
        <f>$E$23</f>
        <v>9.75</v>
      </c>
      <c r="I84" s="18">
        <f>$E$23</f>
        <v>9.75</v>
      </c>
    </row>
    <row r="85" spans="1:9" ht="18">
      <c r="A85" s="42" t="s">
        <v>141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145</v>
      </c>
      <c r="B87" s="68"/>
      <c r="C87" s="115"/>
      <c r="D87" s="100"/>
      <c r="E87" s="84">
        <v>527.0240625</v>
      </c>
      <c r="F87" s="85">
        <v>527.0240625</v>
      </c>
      <c r="G87" s="85">
        <v>527.0240625</v>
      </c>
      <c r="H87" s="85">
        <v>527.0240625</v>
      </c>
      <c r="I87" s="85">
        <v>527.0240625</v>
      </c>
    </row>
    <row r="88" spans="1:9" ht="18">
      <c r="A88" s="86" t="s">
        <v>146</v>
      </c>
      <c r="B88" s="52"/>
      <c r="C88" s="74"/>
      <c r="D88" s="53"/>
      <c r="E88" s="48">
        <f>E87*$C112</f>
        <v>211.92417739803608</v>
      </c>
      <c r="F88" s="49">
        <f>F87*$C112</f>
        <v>211.92417739803608</v>
      </c>
      <c r="G88" s="49">
        <f>G87*$C112</f>
        <v>211.92417739803608</v>
      </c>
      <c r="H88" s="49">
        <f>H87*$C112</f>
        <v>211.92417739803608</v>
      </c>
      <c r="I88" s="49">
        <f>I87*$C112</f>
        <v>211.92417739803608</v>
      </c>
    </row>
    <row r="89" spans="1:9" ht="18">
      <c r="A89" s="100"/>
      <c r="B89" s="68"/>
      <c r="C89" s="88"/>
      <c r="D89" s="100"/>
      <c r="E89" s="89" t="s">
        <v>97</v>
      </c>
      <c r="F89" s="90">
        <f>AVERAGE(E87:I87)</f>
        <v>527.0240625</v>
      </c>
      <c r="G89" s="91" t="s">
        <v>98</v>
      </c>
      <c r="H89" s="92"/>
      <c r="I89" s="62">
        <f>AVERAGE(E88:I88)</f>
        <v>211.92417739803608</v>
      </c>
    </row>
    <row r="90" spans="1:9" ht="18.75">
      <c r="A90" s="105" t="s">
        <v>147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126</v>
      </c>
      <c r="B91" s="107"/>
      <c r="C91" s="108"/>
      <c r="D91" s="292" t="s">
        <v>263</v>
      </c>
      <c r="E91" s="24"/>
      <c r="F91" s="24"/>
      <c r="G91" s="24"/>
      <c r="H91" s="24"/>
      <c r="I91" s="25"/>
    </row>
    <row r="92" spans="1:9" ht="18">
      <c r="A92" s="111" t="s">
        <v>148</v>
      </c>
      <c r="B92" s="98"/>
      <c r="C92" s="294">
        <f>'GDF 3'!C92</f>
        <v>595</v>
      </c>
      <c r="D92" s="296">
        <v>192</v>
      </c>
      <c r="E92" s="301">
        <v>1</v>
      </c>
      <c r="F92" s="301">
        <v>1</v>
      </c>
      <c r="G92" s="301">
        <v>1</v>
      </c>
      <c r="H92" s="301">
        <v>1</v>
      </c>
      <c r="I92" s="301">
        <v>1</v>
      </c>
    </row>
    <row r="93" spans="1:9" ht="18">
      <c r="A93" s="111" t="s">
        <v>149</v>
      </c>
      <c r="B93" s="98"/>
      <c r="C93" s="294">
        <f>'GDF 3'!C93</f>
        <v>885</v>
      </c>
      <c r="D93" s="296">
        <v>245</v>
      </c>
      <c r="E93" s="301">
        <v>4.5</v>
      </c>
      <c r="F93" s="301">
        <v>4.5</v>
      </c>
      <c r="G93" s="301">
        <v>4.5</v>
      </c>
      <c r="H93" s="301">
        <v>4.5</v>
      </c>
      <c r="I93" s="301">
        <v>4.5</v>
      </c>
    </row>
    <row r="94" spans="1:9" ht="18">
      <c r="A94" s="111" t="s">
        <v>150</v>
      </c>
      <c r="B94" s="98"/>
      <c r="C94" s="294">
        <f>'GDF 3'!C94</f>
        <v>3995</v>
      </c>
      <c r="D94" s="296">
        <v>1197</v>
      </c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331</v>
      </c>
      <c r="B95" s="98"/>
      <c r="C95" s="285">
        <v>670</v>
      </c>
      <c r="D95" s="296"/>
      <c r="E95" s="56">
        <v>1</v>
      </c>
      <c r="F95" s="56">
        <v>1</v>
      </c>
      <c r="G95" s="56">
        <v>1</v>
      </c>
      <c r="H95" s="56">
        <v>1</v>
      </c>
      <c r="I95" s="57">
        <v>1</v>
      </c>
    </row>
    <row r="96" spans="1:9" ht="18">
      <c r="A96" s="111" t="s">
        <v>332</v>
      </c>
      <c r="B96" s="98"/>
      <c r="C96" s="285">
        <v>1095</v>
      </c>
      <c r="D96" s="296"/>
      <c r="E96" s="98">
        <f>Sum!$D$13</f>
        <v>2.5</v>
      </c>
      <c r="F96" s="98">
        <f>$E$8</f>
        <v>2.5</v>
      </c>
      <c r="G96" s="98">
        <f>F96</f>
        <v>2.5</v>
      </c>
      <c r="H96" s="98">
        <f>G96</f>
        <v>2.5</v>
      </c>
      <c r="I96" s="113">
        <f>$E$8</f>
        <v>2.5</v>
      </c>
    </row>
    <row r="97" spans="1:9" ht="18">
      <c r="A97" s="307" t="s">
        <v>284</v>
      </c>
      <c r="B97" s="308"/>
      <c r="C97" s="294"/>
      <c r="D97" s="309"/>
      <c r="E97" s="301"/>
      <c r="F97" s="56"/>
      <c r="G97" s="56"/>
      <c r="H97" s="56"/>
      <c r="I97" s="57"/>
    </row>
    <row r="98" spans="1:9" s="323" customFormat="1" ht="18.75" thickBot="1">
      <c r="A98" s="320"/>
      <c r="B98" s="321"/>
      <c r="C98" s="286">
        <f>300+(200*F98)</f>
        <v>1200</v>
      </c>
      <c r="D98" s="324">
        <f>'GDF 2'!D98</f>
        <v>1280</v>
      </c>
      <c r="E98" s="322">
        <v>4.5</v>
      </c>
      <c r="F98" s="322">
        <v>4.5</v>
      </c>
      <c r="G98" s="322">
        <v>4.5</v>
      </c>
      <c r="H98" s="322">
        <v>4.5</v>
      </c>
      <c r="I98" s="322">
        <v>4.5</v>
      </c>
    </row>
    <row r="99" spans="1:9" ht="19.5" thickBot="1" thickTop="1">
      <c r="A99" s="83" t="s">
        <v>152</v>
      </c>
      <c r="B99" s="98"/>
      <c r="C99" s="115"/>
      <c r="D99" s="100"/>
      <c r="E99" s="84">
        <f>+E92*$C$92+E93*$C$93+E94*$C$94+E95*$C$95+E96*$C$96+$C$98</f>
        <v>13180</v>
      </c>
      <c r="F99" s="84">
        <f>+F92*$C$92+F93*$C$93+F94*$C$94+F95*$C$95+F96*$C$96+$C$98</f>
        <v>13180</v>
      </c>
      <c r="G99" s="84">
        <f>+G92*$C$92+G93*$C$93+G94*$C$94+G95*$C$95+G96*$C$96+$C$98</f>
        <v>13180</v>
      </c>
      <c r="H99" s="84">
        <f>+H92*$C$92+H93*$C$93+H94*$C$94+H95*$C$95+H96*$C$96+$C$98</f>
        <v>13180</v>
      </c>
      <c r="I99" s="84">
        <f>+I92*$C$92+I93*$C$93+I94*$C$94+I95*$C$95+I96*$C$96+$C$98</f>
        <v>13180</v>
      </c>
    </row>
    <row r="100" spans="1:9" ht="19.5" thickBot="1" thickTop="1">
      <c r="A100" s="86" t="s">
        <v>153</v>
      </c>
      <c r="B100" s="52"/>
      <c r="C100" s="74"/>
      <c r="D100" s="53"/>
      <c r="E100" s="48">
        <f>E99*$C110</f>
        <v>2144.984304551502</v>
      </c>
      <c r="F100" s="49">
        <f>F99*$C110</f>
        <v>2144.984304551502</v>
      </c>
      <c r="G100" s="49">
        <f>G99*$C110</f>
        <v>2144.984304551502</v>
      </c>
      <c r="H100" s="49">
        <f>H99*$C110</f>
        <v>2144.984304551502</v>
      </c>
      <c r="I100" s="49">
        <f>I99*$C110</f>
        <v>2144.984304551502</v>
      </c>
    </row>
    <row r="101" spans="1:9" ht="19.5" thickBot="1" thickTop="1">
      <c r="A101" s="288" t="s">
        <v>259</v>
      </c>
      <c r="B101" s="298"/>
      <c r="C101" s="289"/>
      <c r="D101" s="290"/>
      <c r="E101" s="291">
        <v>1620</v>
      </c>
      <c r="F101" s="291">
        <v>1620</v>
      </c>
      <c r="G101" s="291">
        <v>1620</v>
      </c>
      <c r="H101" s="291">
        <v>1620</v>
      </c>
      <c r="I101" s="291">
        <v>1620</v>
      </c>
    </row>
    <row r="102" spans="1:9" ht="19.5" thickBot="1" thickTop="1">
      <c r="A102" s="288" t="s">
        <v>343</v>
      </c>
      <c r="C102" s="289"/>
      <c r="D102" s="290"/>
      <c r="E102" s="291">
        <v>500</v>
      </c>
      <c r="F102" s="291">
        <v>500</v>
      </c>
      <c r="G102" s="291">
        <v>500</v>
      </c>
      <c r="H102" s="291">
        <v>0</v>
      </c>
      <c r="I102" s="291">
        <v>0</v>
      </c>
    </row>
    <row r="103" spans="1:9" ht="19.5" thickBot="1" thickTop="1">
      <c r="A103" s="100"/>
      <c r="B103" s="98"/>
      <c r="C103" s="115"/>
      <c r="D103" s="100"/>
      <c r="E103" s="89" t="s">
        <v>97</v>
      </c>
      <c r="F103" s="90">
        <f>AVERAGE(E99:I99)</f>
        <v>13180</v>
      </c>
      <c r="G103" s="91" t="s">
        <v>98</v>
      </c>
      <c r="H103" s="92"/>
      <c r="I103" s="62">
        <f>AVERAGE(E100:I100)+E101+AVERAGE(E102:I102)</f>
        <v>4064.984304551502</v>
      </c>
    </row>
    <row r="104" spans="1:9" ht="18">
      <c r="A104" s="29"/>
      <c r="B104" s="103"/>
      <c r="C104" s="30"/>
      <c r="D104" s="29"/>
      <c r="E104" s="31"/>
      <c r="F104" s="31"/>
      <c r="G104" s="31"/>
      <c r="H104" s="31"/>
      <c r="I104" s="31"/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32" t="s">
        <v>154</v>
      </c>
      <c r="B106" s="98"/>
      <c r="C106" s="88"/>
      <c r="D106" s="100"/>
      <c r="E106" s="84">
        <f>SUM(E18,E49,E69,E80,E87,E99)</f>
        <v>44650.633125</v>
      </c>
      <c r="F106" s="85">
        <f>SUM(F18,F49,F69,F80,F87,F99)</f>
        <v>44650.633125</v>
      </c>
      <c r="G106" s="85">
        <f>SUM(G18,G49,G69,G80,G87,G99)</f>
        <v>47053.228125</v>
      </c>
      <c r="H106" s="85">
        <f>SUM(H18,H49,H69,H80,H87,H99)</f>
        <v>41561.1353125</v>
      </c>
      <c r="I106" s="33">
        <f>SUM(I18,I49,I69,I80,I87,I99)</f>
        <v>41349.862812499996</v>
      </c>
    </row>
    <row r="107" spans="1:9" ht="18">
      <c r="A107" s="32" t="s">
        <v>155</v>
      </c>
      <c r="B107" s="98"/>
      <c r="C107" s="88"/>
      <c r="D107" s="100"/>
      <c r="E107" s="84">
        <f>SUM(E19,E56,E74,E81,E88,E100,E101:E102)</f>
        <v>12101.455070676582</v>
      </c>
      <c r="F107" s="84">
        <f>SUM(F19,F56,F74,F81,F88,F100,F101:F102)</f>
        <v>12101.455070676582</v>
      </c>
      <c r="G107" s="84">
        <f>SUM(G19,G56,G74,G81,G88,G100,G101:G102)</f>
        <v>12669.316879840026</v>
      </c>
      <c r="H107" s="84">
        <f>SUM(H19,H56,H74,H81,H88,H100,H101:H102)</f>
        <v>11369.40628620095</v>
      </c>
      <c r="I107" s="84">
        <f>SUM(I19,I56,I74,I81,I88,I100,I101:I102)</f>
        <v>11314.568760602446</v>
      </c>
    </row>
    <row r="108" spans="2:9" ht="18">
      <c r="B108" s="98"/>
      <c r="C108" s="99"/>
      <c r="D108" s="100"/>
      <c r="E108" s="98"/>
      <c r="F108" s="98"/>
      <c r="G108" s="98"/>
      <c r="H108" s="98"/>
      <c r="I108" s="98"/>
    </row>
    <row r="109" spans="1:9" ht="18">
      <c r="A109" s="97" t="s">
        <v>156</v>
      </c>
      <c r="B109" s="98"/>
      <c r="C109" s="99"/>
      <c r="D109" s="100"/>
      <c r="E109" s="98"/>
      <c r="F109" s="98"/>
      <c r="G109" s="98"/>
      <c r="H109" s="98"/>
      <c r="I109" s="98"/>
    </row>
    <row r="110" spans="1:9" ht="18">
      <c r="A110" s="97" t="s">
        <v>157</v>
      </c>
      <c r="B110" s="98"/>
      <c r="C110" s="34">
        <f>(0.1*(1+0.1)^10)/((1+0.1)^10-1)</f>
        <v>0.16274539488251155</v>
      </c>
      <c r="D110" s="100"/>
      <c r="E110" s="98"/>
      <c r="F110" s="35" t="s">
        <v>158</v>
      </c>
      <c r="G110" s="36"/>
      <c r="H110" s="37"/>
      <c r="I110" s="38">
        <f>AVERAGE(E106:I106)</f>
        <v>43853.0985</v>
      </c>
    </row>
    <row r="111" spans="1:9" ht="18">
      <c r="A111" s="97" t="s">
        <v>159</v>
      </c>
      <c r="B111" s="98"/>
      <c r="C111" s="34">
        <f>(0.1*(1+0.1)^7)/((1+0.1)^7-1)</f>
        <v>0.20540549970059557</v>
      </c>
      <c r="D111" s="100"/>
      <c r="E111" s="98"/>
      <c r="F111" s="35" t="s">
        <v>160</v>
      </c>
      <c r="G111" s="36"/>
      <c r="H111" s="37"/>
      <c r="I111" s="38">
        <f>AVERAGE(E107:I107)</f>
        <v>11911.240413599317</v>
      </c>
    </row>
    <row r="112" spans="1:9" ht="18">
      <c r="A112" s="97" t="s">
        <v>161</v>
      </c>
      <c r="B112" s="98"/>
      <c r="C112" s="34">
        <f>(0.1*(1+0.1)^3)/((1+0.1)^3-1)</f>
        <v>0.4021148036253773</v>
      </c>
      <c r="D112" s="100"/>
      <c r="E112" s="98"/>
      <c r="F112" s="98"/>
      <c r="G112" s="98"/>
      <c r="H112" s="98"/>
      <c r="I112" s="98"/>
    </row>
    <row r="113" spans="1:9" ht="18">
      <c r="A113" s="97" t="s">
        <v>162</v>
      </c>
      <c r="B113" s="98"/>
      <c r="C113" s="99"/>
      <c r="D113" s="100"/>
      <c r="E113" s="98"/>
      <c r="F113" s="98"/>
      <c r="G113" s="98"/>
      <c r="H113" s="98"/>
      <c r="I113" s="98"/>
    </row>
  </sheetData>
  <mergeCells count="1">
    <mergeCell ref="A17:B17"/>
  </mergeCells>
  <printOptions/>
  <pageMargins left="0.35" right="0.53" top="0.76" bottom="0.33" header="0.27" footer="0.19"/>
  <pageSetup horizontalDpi="600" verticalDpi="600" orientation="landscape" scale="85" r:id="rId1"/>
  <headerFooter alignWithMargins="0">
    <oddHeader>&amp;LEVR Technology Review&amp;RAppendix 4</oddHeader>
    <oddFooter>&amp;RPage 19</oddFooter>
  </headerFooter>
  <rowBreaks count="2" manualBreakCount="2">
    <brk id="57" max="255" man="1"/>
    <brk id="8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65" zoomScaleNormal="75" zoomScaleSheetLayoutView="65" workbookViewId="0" topLeftCell="A1">
      <selection activeCell="D109" sqref="D109"/>
    </sheetView>
  </sheetViews>
  <sheetFormatPr defaultColWidth="9.140625" defaultRowHeight="12.75"/>
  <cols>
    <col min="1" max="1" width="61.00390625" style="97" customWidth="1"/>
    <col min="2" max="2" width="2.57421875" style="97" customWidth="1"/>
    <col min="3" max="3" width="11.57421875" style="97" customWidth="1"/>
    <col min="4" max="4" width="12.00390625" style="97" customWidth="1"/>
    <col min="5" max="6" width="12.28125" style="97" customWidth="1"/>
    <col min="7" max="7" width="12.00390625" style="97" customWidth="1"/>
    <col min="8" max="8" width="12.140625" style="97" customWidth="1"/>
    <col min="9" max="9" width="12.5742187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166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78</v>
      </c>
      <c r="D4" s="100"/>
      <c r="E4" s="101" t="s">
        <v>79</v>
      </c>
      <c r="F4" s="101"/>
      <c r="G4" s="101"/>
      <c r="H4" s="101"/>
      <c r="I4" s="101"/>
    </row>
    <row r="5" spans="1:9" ht="18.75" thickBot="1">
      <c r="A5" s="103" t="s">
        <v>80</v>
      </c>
      <c r="B5" s="103"/>
      <c r="C5" s="104" t="s">
        <v>81</v>
      </c>
      <c r="D5" s="100"/>
      <c r="E5" s="103" t="s">
        <v>82</v>
      </c>
      <c r="F5" s="103" t="s">
        <v>83</v>
      </c>
      <c r="G5" s="103" t="s">
        <v>84</v>
      </c>
      <c r="H5" s="103" t="s">
        <v>85</v>
      </c>
      <c r="I5" s="103" t="s">
        <v>86</v>
      </c>
    </row>
    <row r="6" spans="1:9" ht="19.5" thickTop="1">
      <c r="A6" s="105" t="s">
        <v>87</v>
      </c>
      <c r="B6" s="98"/>
      <c r="C6" s="99"/>
      <c r="D6" s="342" t="s">
        <v>374</v>
      </c>
      <c r="E6" s="98"/>
      <c r="F6" s="98"/>
      <c r="G6" s="98"/>
      <c r="H6" s="98"/>
      <c r="I6" s="98"/>
    </row>
    <row r="7" spans="1:9" ht="18">
      <c r="A7" s="106" t="s">
        <v>88</v>
      </c>
      <c r="B7" s="107"/>
      <c r="C7" s="108"/>
      <c r="D7" s="343"/>
      <c r="E7" s="107"/>
      <c r="F7" s="107"/>
      <c r="G7" s="107"/>
      <c r="H7" s="107"/>
      <c r="I7" s="110"/>
    </row>
    <row r="8" spans="1:9" ht="18">
      <c r="A8" s="111" t="s">
        <v>89</v>
      </c>
      <c r="B8" s="98"/>
      <c r="C8" s="112">
        <v>65</v>
      </c>
      <c r="D8" s="345">
        <v>80</v>
      </c>
      <c r="E8" s="98">
        <f>Sum!$D$13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90</v>
      </c>
      <c r="B9" s="98"/>
      <c r="C9" s="112">
        <v>351</v>
      </c>
      <c r="D9" s="345">
        <v>390</v>
      </c>
      <c r="E9" s="344">
        <v>5</v>
      </c>
      <c r="F9" s="344">
        <v>5</v>
      </c>
      <c r="G9" s="344">
        <v>5</v>
      </c>
      <c r="H9" s="344">
        <v>5</v>
      </c>
      <c r="I9" s="344">
        <v>5</v>
      </c>
    </row>
    <row r="10" spans="1:9" ht="18">
      <c r="A10" s="111" t="s">
        <v>91</v>
      </c>
      <c r="B10" s="98"/>
      <c r="C10" s="112">
        <f>134+44</f>
        <v>178</v>
      </c>
      <c r="D10" s="345">
        <v>400</v>
      </c>
      <c r="E10" s="98">
        <f>$E$8</f>
        <v>2.5</v>
      </c>
      <c r="F10" s="98">
        <f>$E$8</f>
        <v>2.5</v>
      </c>
      <c r="G10" s="98">
        <f>$E$8</f>
        <v>2.5</v>
      </c>
      <c r="H10" s="98">
        <f>$E$8</f>
        <v>2.5</v>
      </c>
      <c r="I10" s="113">
        <f>$E$8</f>
        <v>2.5</v>
      </c>
    </row>
    <row r="11" spans="1:9" ht="18">
      <c r="A11" s="114" t="s">
        <v>92</v>
      </c>
      <c r="B11" s="98"/>
      <c r="C11" s="115">
        <v>55</v>
      </c>
      <c r="D11" s="345">
        <v>219</v>
      </c>
      <c r="E11" s="344">
        <v>5</v>
      </c>
      <c r="F11" s="344">
        <v>5</v>
      </c>
      <c r="G11" s="344">
        <v>5</v>
      </c>
      <c r="H11" s="344">
        <v>5</v>
      </c>
      <c r="I11" s="344">
        <v>5</v>
      </c>
    </row>
    <row r="12" spans="1:9" ht="18">
      <c r="A12" s="114" t="s">
        <v>93</v>
      </c>
      <c r="B12" s="98"/>
      <c r="C12" s="115"/>
      <c r="D12" s="345"/>
      <c r="E12" s="98"/>
      <c r="F12" s="98"/>
      <c r="G12" s="98"/>
      <c r="H12" s="98"/>
      <c r="I12" s="113"/>
    </row>
    <row r="13" spans="1:9" ht="18">
      <c r="A13" s="111" t="s">
        <v>94</v>
      </c>
      <c r="B13" s="98"/>
      <c r="C13" s="115">
        <f>(1*80)</f>
        <v>80</v>
      </c>
      <c r="D13" s="345">
        <v>16</v>
      </c>
      <c r="E13" s="98">
        <f aca="true" t="shared" si="0" ref="E13:I15">$E$8</f>
        <v>2.5</v>
      </c>
      <c r="F13" s="98">
        <f t="shared" si="0"/>
        <v>2.5</v>
      </c>
      <c r="G13" s="98">
        <f t="shared" si="0"/>
        <v>2.5</v>
      </c>
      <c r="H13" s="98">
        <f t="shared" si="0"/>
        <v>2.5</v>
      </c>
      <c r="I13" s="113">
        <f t="shared" si="0"/>
        <v>2.5</v>
      </c>
    </row>
    <row r="14" spans="1:9" ht="18">
      <c r="A14" s="111" t="s">
        <v>90</v>
      </c>
      <c r="B14" s="98"/>
      <c r="C14" s="115">
        <f>(2*80)</f>
        <v>160</v>
      </c>
      <c r="D14" s="345">
        <v>190</v>
      </c>
      <c r="E14" s="344">
        <v>5</v>
      </c>
      <c r="F14" s="344">
        <v>5</v>
      </c>
      <c r="G14" s="344">
        <v>5</v>
      </c>
      <c r="H14" s="344">
        <v>5</v>
      </c>
      <c r="I14" s="344">
        <v>5</v>
      </c>
    </row>
    <row r="15" spans="1:9" ht="18">
      <c r="A15" s="111" t="s">
        <v>91</v>
      </c>
      <c r="B15" s="98"/>
      <c r="C15" s="115">
        <f>(2*80)</f>
        <v>160</v>
      </c>
      <c r="D15" s="345">
        <v>155</v>
      </c>
      <c r="E15" s="98">
        <f t="shared" si="0"/>
        <v>2.5</v>
      </c>
      <c r="F15" s="98">
        <f t="shared" si="0"/>
        <v>2.5</v>
      </c>
      <c r="G15" s="98">
        <f t="shared" si="0"/>
        <v>2.5</v>
      </c>
      <c r="H15" s="98">
        <f t="shared" si="0"/>
        <v>2.5</v>
      </c>
      <c r="I15" s="113">
        <f t="shared" si="0"/>
        <v>2.5</v>
      </c>
    </row>
    <row r="16" spans="1:9" ht="18">
      <c r="A16" s="116" t="s">
        <v>92</v>
      </c>
      <c r="B16" s="117"/>
      <c r="C16" s="118">
        <f>(1*80)</f>
        <v>80</v>
      </c>
      <c r="D16" s="346">
        <v>41</v>
      </c>
      <c r="E16" s="344">
        <v>5</v>
      </c>
      <c r="F16" s="344">
        <v>5</v>
      </c>
      <c r="G16" s="344">
        <v>5</v>
      </c>
      <c r="H16" s="344">
        <v>5</v>
      </c>
      <c r="I16" s="344">
        <v>5</v>
      </c>
    </row>
    <row r="17" spans="1:9" ht="18.75" thickBot="1">
      <c r="A17" s="368" t="s">
        <v>375</v>
      </c>
      <c r="B17" s="369"/>
      <c r="C17" s="118"/>
      <c r="D17" s="346">
        <v>131</v>
      </c>
      <c r="E17" s="80"/>
      <c r="F17" s="80"/>
      <c r="G17" s="80"/>
      <c r="H17" s="80"/>
      <c r="I17" s="82"/>
    </row>
    <row r="18" spans="1:9" ht="19.5" thickBot="1" thickTop="1">
      <c r="A18" s="83" t="s">
        <v>95</v>
      </c>
      <c r="E18" s="347">
        <f>+E8*$D$8+E9*$D$9+E10*$D$10+E11*$D$11+E13*$D$13+E14*$D$14+E15*$D$15+E16*$D$16+$D$17</f>
        <v>5958.5</v>
      </c>
      <c r="F18" s="347">
        <f>+F8*$D$8+F9*$D$9+F10*$D$10+F11*$D$11+F13*$D$13+F14*$D$14+F15*$D$15+F16*$D$16+$D$17</f>
        <v>5958.5</v>
      </c>
      <c r="G18" s="347">
        <f>+G8*$D$8+G9*$D$9+G10*$D$10+G11*$D$11+G13*$D$13+G14*$D$14+G15*$D$15+G16*$D$16+$D$17</f>
        <v>5958.5</v>
      </c>
      <c r="H18" s="347">
        <f>+H8*$D$8+H9*$D$9+H10*$D$10+H11*$D$11+H13*$D$13+H14*$D$14+H15*$D$15+H16*$D$16+$D$17</f>
        <v>5958.5</v>
      </c>
      <c r="I18" s="347">
        <f>+I8*$D$8+I9*$D$9+I10*$D$10+I11*$D$11+I13*$D$13+I14*$D$14+I15*$D$15+I16*$D$16+$D$17</f>
        <v>5958.5</v>
      </c>
    </row>
    <row r="19" spans="1:9" ht="19.5" thickBot="1" thickTop="1">
      <c r="A19" s="86" t="s">
        <v>96</v>
      </c>
      <c r="B19" s="87"/>
      <c r="C19" s="87"/>
      <c r="D19" s="87"/>
      <c r="E19" s="347">
        <f>E18*$C$112</f>
        <v>1223.9086699659988</v>
      </c>
      <c r="F19" s="348">
        <f>F18*$C$112</f>
        <v>1223.9086699659988</v>
      </c>
      <c r="G19" s="348">
        <f>G18*$C$112</f>
        <v>1223.9086699659988</v>
      </c>
      <c r="H19" s="348">
        <f>H18*$C$112</f>
        <v>1223.9086699659988</v>
      </c>
      <c r="I19" s="348">
        <f>I18*$C$112</f>
        <v>1223.9086699659988</v>
      </c>
    </row>
    <row r="20" spans="1:9" ht="19.5" thickBot="1" thickTop="1">
      <c r="A20" s="100"/>
      <c r="B20" s="98"/>
      <c r="C20" s="88"/>
      <c r="D20" s="100"/>
      <c r="E20" s="349" t="s">
        <v>97</v>
      </c>
      <c r="F20" s="350">
        <f>AVERAGE(E18:I18)</f>
        <v>5958.5</v>
      </c>
      <c r="G20" s="351" t="s">
        <v>98</v>
      </c>
      <c r="H20" s="352"/>
      <c r="I20" s="353">
        <f>AVERAGE(E19:I19)</f>
        <v>1223.9086699659988</v>
      </c>
    </row>
    <row r="21" spans="1:9" ht="19.5" thickTop="1">
      <c r="A21" s="105" t="s">
        <v>99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100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101</v>
      </c>
      <c r="B23" s="98"/>
      <c r="C23" s="112">
        <f>'GDF 4'!C23</f>
        <v>200</v>
      </c>
      <c r="D23" s="100"/>
      <c r="E23" s="65">
        <f>Sum!$H$14</f>
        <v>16.25</v>
      </c>
      <c r="F23" s="9">
        <f>$E$23</f>
        <v>16.25</v>
      </c>
      <c r="G23" s="9"/>
      <c r="H23" s="9"/>
      <c r="I23" s="10"/>
    </row>
    <row r="24" spans="1:9" ht="18">
      <c r="A24" s="114" t="s">
        <v>102</v>
      </c>
      <c r="B24" s="98"/>
      <c r="C24" s="112">
        <f>'GDF 4'!C24</f>
        <v>231.25</v>
      </c>
      <c r="D24" s="100"/>
      <c r="E24" s="9"/>
      <c r="F24" s="9"/>
      <c r="G24" s="9">
        <f>$E$23</f>
        <v>16.25</v>
      </c>
      <c r="H24" s="9"/>
      <c r="I24" s="10"/>
    </row>
    <row r="25" spans="1:9" ht="18">
      <c r="A25" s="114" t="s">
        <v>103</v>
      </c>
      <c r="B25" s="98"/>
      <c r="C25" s="112">
        <f>'GDF 4'!C25</f>
        <v>208.83</v>
      </c>
      <c r="D25" s="100"/>
      <c r="E25" s="9"/>
      <c r="F25" s="9"/>
      <c r="G25" s="9"/>
      <c r="H25" s="9">
        <f>$E$23</f>
        <v>16.25</v>
      </c>
      <c r="I25" s="10"/>
    </row>
    <row r="26" spans="1:9" ht="18">
      <c r="A26" s="114" t="s">
        <v>104</v>
      </c>
      <c r="B26" s="98"/>
      <c r="C26" s="112">
        <f>'GDF 4'!C26</f>
        <v>224.78</v>
      </c>
      <c r="D26" s="100"/>
      <c r="E26" s="9"/>
      <c r="F26" s="9"/>
      <c r="G26" s="9"/>
      <c r="H26" s="9"/>
      <c r="I26" s="10">
        <f>$E$23</f>
        <v>16.25</v>
      </c>
    </row>
    <row r="27" spans="1:9" ht="18">
      <c r="A27" s="114" t="s">
        <v>105</v>
      </c>
      <c r="B27" s="98"/>
      <c r="C27" s="112">
        <f>'GDF 4'!C27</f>
        <v>381.82</v>
      </c>
      <c r="D27" s="100"/>
      <c r="E27" s="9">
        <f>E$23</f>
        <v>16.25</v>
      </c>
      <c r="F27" s="9">
        <f>F$23</f>
        <v>16.25</v>
      </c>
      <c r="G27" s="9"/>
      <c r="H27" s="9"/>
      <c r="I27" s="10"/>
    </row>
    <row r="28" spans="1:9" ht="18">
      <c r="A28" s="114" t="s">
        <v>106</v>
      </c>
      <c r="B28" s="98"/>
      <c r="C28" s="112">
        <f>'GDF 4'!C28</f>
        <v>467.87</v>
      </c>
      <c r="D28" s="100"/>
      <c r="E28" s="9"/>
      <c r="F28" s="9"/>
      <c r="G28" s="9">
        <f>G$24</f>
        <v>16.25</v>
      </c>
      <c r="H28" s="9"/>
      <c r="I28" s="10"/>
    </row>
    <row r="29" spans="1:9" ht="18">
      <c r="A29" s="114" t="s">
        <v>107</v>
      </c>
      <c r="B29" s="98"/>
      <c r="C29" s="112">
        <f>'GDF 4'!C29</f>
        <v>400.11</v>
      </c>
      <c r="D29" s="100"/>
      <c r="E29" s="9"/>
      <c r="F29" s="9"/>
      <c r="G29" s="9"/>
      <c r="H29" s="9">
        <f>H$25</f>
        <v>16.25</v>
      </c>
      <c r="I29" s="10"/>
    </row>
    <row r="30" spans="1:9" ht="18">
      <c r="A30" s="114" t="s">
        <v>108</v>
      </c>
      <c r="B30" s="98"/>
      <c r="C30" s="112">
        <f>'GDF 4'!C30</f>
        <v>220.49</v>
      </c>
      <c r="D30" s="100"/>
      <c r="E30" s="9"/>
      <c r="F30" s="9"/>
      <c r="G30" s="9"/>
      <c r="H30" s="9"/>
      <c r="I30" s="10">
        <f>I$26</f>
        <v>16.25</v>
      </c>
    </row>
    <row r="31" spans="1:9" ht="18">
      <c r="A31" s="114" t="s">
        <v>109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110</v>
      </c>
      <c r="B32" s="98"/>
      <c r="C32" s="112">
        <f>'GDF 4'!C32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111</v>
      </c>
      <c r="B33" s="98"/>
      <c r="C33" s="112">
        <f>'GDF 4'!C33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112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113</v>
      </c>
      <c r="B35" s="98"/>
      <c r="C35" s="112">
        <f>'GDF 4'!C35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93</v>
      </c>
      <c r="B36" s="98"/>
      <c r="C36" s="112"/>
      <c r="D36" s="100" t="s">
        <v>263</v>
      </c>
      <c r="E36" s="9"/>
      <c r="F36" s="9"/>
      <c r="G36" s="9"/>
      <c r="H36" s="9"/>
      <c r="I36" s="10"/>
    </row>
    <row r="37" spans="1:9" ht="18">
      <c r="A37" s="114" t="s">
        <v>101</v>
      </c>
      <c r="B37" s="98"/>
      <c r="C37" s="300">
        <f>2*D37</f>
        <v>172.08</v>
      </c>
      <c r="D37" s="112">
        <f>'GDF 4'!D37</f>
        <v>86.04</v>
      </c>
      <c r="E37" s="9">
        <f>E$23</f>
        <v>16.25</v>
      </c>
      <c r="F37" s="9">
        <f>F$23</f>
        <v>16.25</v>
      </c>
      <c r="G37" s="9"/>
      <c r="H37" s="9"/>
      <c r="I37" s="10"/>
    </row>
    <row r="38" spans="1:9" ht="18">
      <c r="A38" s="114" t="s">
        <v>102</v>
      </c>
      <c r="B38" s="98"/>
      <c r="C38" s="300">
        <f aca="true" t="shared" si="1" ref="C38:C47">2*D38</f>
        <v>215.12</v>
      </c>
      <c r="D38" s="112">
        <f>'GDF 4'!D38</f>
        <v>107.56</v>
      </c>
      <c r="E38" s="9"/>
      <c r="F38" s="9"/>
      <c r="G38" s="9">
        <f>G$24</f>
        <v>16.25</v>
      </c>
      <c r="H38" s="9"/>
      <c r="I38" s="10"/>
    </row>
    <row r="39" spans="1:9" ht="18">
      <c r="A39" s="114" t="s">
        <v>103</v>
      </c>
      <c r="B39" s="98"/>
      <c r="C39" s="300">
        <f t="shared" si="1"/>
        <v>96.8</v>
      </c>
      <c r="D39" s="112">
        <f>'GDF 4'!D39</f>
        <v>48.4</v>
      </c>
      <c r="E39" s="9"/>
      <c r="F39" s="9"/>
      <c r="G39" s="9"/>
      <c r="H39" s="9">
        <f>H$25</f>
        <v>16.25</v>
      </c>
      <c r="I39" s="10"/>
    </row>
    <row r="40" spans="1:9" ht="18">
      <c r="A40" s="114" t="s">
        <v>104</v>
      </c>
      <c r="B40" s="98"/>
      <c r="C40" s="300">
        <f t="shared" si="1"/>
        <v>107.56</v>
      </c>
      <c r="D40" s="112">
        <f>'GDF 4'!D40</f>
        <v>53.78</v>
      </c>
      <c r="E40" s="9"/>
      <c r="F40" s="9"/>
      <c r="G40" s="9"/>
      <c r="H40" s="9"/>
      <c r="I40" s="10">
        <f>I$26</f>
        <v>16.25</v>
      </c>
    </row>
    <row r="41" spans="1:9" ht="18">
      <c r="A41" s="114" t="s">
        <v>105</v>
      </c>
      <c r="B41" s="68"/>
      <c r="C41" s="300">
        <f t="shared" si="1"/>
        <v>344.16</v>
      </c>
      <c r="D41" s="112">
        <f>'GDF 4'!D41</f>
        <v>172.08</v>
      </c>
      <c r="E41" s="9">
        <f>E$23</f>
        <v>16.25</v>
      </c>
      <c r="F41" s="9">
        <f>F$23</f>
        <v>16.25</v>
      </c>
      <c r="G41" s="9"/>
      <c r="H41" s="9"/>
      <c r="I41" s="10"/>
    </row>
    <row r="42" spans="1:9" ht="18">
      <c r="A42" s="114" t="s">
        <v>106</v>
      </c>
      <c r="B42" s="68"/>
      <c r="C42" s="300">
        <f t="shared" si="1"/>
        <v>430.24</v>
      </c>
      <c r="D42" s="112">
        <f>'GDF 4'!D42</f>
        <v>215.12</v>
      </c>
      <c r="E42" s="9"/>
      <c r="F42" s="9"/>
      <c r="G42" s="9">
        <f>G$24</f>
        <v>16.25</v>
      </c>
      <c r="H42" s="9"/>
      <c r="I42" s="10"/>
    </row>
    <row r="43" spans="1:9" ht="18">
      <c r="A43" s="114" t="s">
        <v>107</v>
      </c>
      <c r="B43" s="68"/>
      <c r="C43" s="300">
        <f t="shared" si="1"/>
        <v>193.6</v>
      </c>
      <c r="D43" s="112">
        <f>'GDF 4'!D43</f>
        <v>96.8</v>
      </c>
      <c r="E43" s="9"/>
      <c r="F43" s="9"/>
      <c r="G43" s="9"/>
      <c r="H43" s="9">
        <f>H$25</f>
        <v>16.25</v>
      </c>
      <c r="I43" s="10"/>
    </row>
    <row r="44" spans="1:9" ht="18">
      <c r="A44" s="114" t="s">
        <v>108</v>
      </c>
      <c r="B44" s="68"/>
      <c r="C44" s="300">
        <f t="shared" si="1"/>
        <v>215.12</v>
      </c>
      <c r="D44" s="112">
        <f>'GDF 4'!D44</f>
        <v>107.56</v>
      </c>
      <c r="E44" s="9"/>
      <c r="F44" s="9"/>
      <c r="G44" s="9"/>
      <c r="H44" s="9"/>
      <c r="I44" s="10">
        <f>I$26</f>
        <v>16.25</v>
      </c>
    </row>
    <row r="45" spans="1:9" ht="18">
      <c r="A45" s="114" t="s">
        <v>114</v>
      </c>
      <c r="B45" s="98"/>
      <c r="C45" s="300">
        <f t="shared" si="1"/>
        <v>3011.56</v>
      </c>
      <c r="D45" s="112">
        <f>'GDF 4'!D45</f>
        <v>1505.78</v>
      </c>
      <c r="E45" s="9"/>
      <c r="F45" s="9"/>
      <c r="G45" s="9"/>
      <c r="H45" s="9">
        <v>1</v>
      </c>
      <c r="I45" s="10"/>
    </row>
    <row r="46" spans="1:9" ht="18">
      <c r="A46" s="114" t="s">
        <v>115</v>
      </c>
      <c r="B46" s="98"/>
      <c r="C46" s="300">
        <f t="shared" si="1"/>
        <v>2581.34</v>
      </c>
      <c r="D46" s="112">
        <f>'GDF 4'!D46</f>
        <v>1290.67</v>
      </c>
      <c r="E46" s="9"/>
      <c r="F46" s="9"/>
      <c r="G46" s="9"/>
      <c r="H46" s="9"/>
      <c r="I46" s="10">
        <v>1</v>
      </c>
    </row>
    <row r="47" spans="1:9" ht="18">
      <c r="A47" s="116" t="s">
        <v>116</v>
      </c>
      <c r="B47" s="117"/>
      <c r="C47" s="300">
        <f t="shared" si="1"/>
        <v>3012</v>
      </c>
      <c r="D47" s="112">
        <f>'GDF 4'!D47</f>
        <v>1506</v>
      </c>
      <c r="E47" s="11">
        <v>1</v>
      </c>
      <c r="F47" s="11">
        <v>1</v>
      </c>
      <c r="G47" s="11">
        <v>1</v>
      </c>
      <c r="H47" s="11"/>
      <c r="I47" s="12"/>
    </row>
    <row r="48" spans="1:9" ht="18.75" thickBot="1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117</v>
      </c>
      <c r="B49" s="68"/>
      <c r="C49" s="115"/>
      <c r="D49" s="100"/>
      <c r="E49" s="84">
        <v>22655.025</v>
      </c>
      <c r="F49" s="85">
        <v>22655.025</v>
      </c>
      <c r="G49" s="85">
        <v>25610.25</v>
      </c>
      <c r="H49" s="85">
        <v>21260.555</v>
      </c>
      <c r="I49" s="85">
        <v>20148.082499999997</v>
      </c>
    </row>
    <row r="50" spans="1:9" ht="18">
      <c r="A50" s="114" t="s">
        <v>118</v>
      </c>
      <c r="B50" s="68"/>
      <c r="C50" s="115"/>
      <c r="D50" s="100"/>
      <c r="E50" s="115">
        <v>4648.15</v>
      </c>
      <c r="F50" s="115">
        <v>4648.15</v>
      </c>
      <c r="G50" s="115">
        <v>5505.6625</v>
      </c>
      <c r="H50" s="115">
        <v>4179.9875</v>
      </c>
      <c r="I50" s="73">
        <v>4526.6</v>
      </c>
    </row>
    <row r="51" spans="1:9" ht="18">
      <c r="A51" s="114" t="s">
        <v>119</v>
      </c>
      <c r="B51" s="68"/>
      <c r="C51" s="115"/>
      <c r="D51" s="100"/>
      <c r="E51" s="115">
        <v>9000.875</v>
      </c>
      <c r="F51" s="115">
        <v>9000.875</v>
      </c>
      <c r="G51" s="115">
        <v>11098.5875</v>
      </c>
      <c r="H51" s="115">
        <v>8074.7875</v>
      </c>
      <c r="I51" s="73">
        <v>5330.8125</v>
      </c>
    </row>
    <row r="52" spans="1:9" ht="18">
      <c r="A52" s="114" t="s">
        <v>120</v>
      </c>
      <c r="B52" s="68"/>
      <c r="C52" s="115"/>
      <c r="D52" s="100"/>
      <c r="E52" s="74">
        <f>E49-E50-E51</f>
        <v>9006</v>
      </c>
      <c r="F52" s="74">
        <f>F49-F50-F51</f>
        <v>9006</v>
      </c>
      <c r="G52" s="74">
        <f>G49-G50-G51</f>
        <v>9006.000000000002</v>
      </c>
      <c r="H52" s="74">
        <f>H49-H50-H51</f>
        <v>9005.78</v>
      </c>
      <c r="I52" s="75">
        <f>I49-I50-I51</f>
        <v>10290.669999999996</v>
      </c>
    </row>
    <row r="53" spans="1:9" ht="18">
      <c r="A53" s="114" t="s">
        <v>121</v>
      </c>
      <c r="B53" s="68"/>
      <c r="C53" s="115"/>
      <c r="D53" s="100"/>
      <c r="E53" s="115">
        <f>E50*$C$113</f>
        <v>1869.0899244712975</v>
      </c>
      <c r="F53" s="115">
        <f>F50*$C$113</f>
        <v>1869.0899244712975</v>
      </c>
      <c r="G53" s="115">
        <f>G50*$C$113</f>
        <v>2213.9083950151044</v>
      </c>
      <c r="H53" s="115">
        <f>H50*$C$113</f>
        <v>1680.834852719032</v>
      </c>
      <c r="I53" s="73">
        <f>I50*$C$113</f>
        <v>1820.2128700906333</v>
      </c>
    </row>
    <row r="54" spans="1:9" ht="18">
      <c r="A54" s="114" t="s">
        <v>122</v>
      </c>
      <c r="B54" s="68"/>
      <c r="C54" s="115"/>
      <c r="D54" s="100"/>
      <c r="E54" s="115">
        <f>E51*$C$112</f>
        <v>1848.829227117598</v>
      </c>
      <c r="F54" s="115">
        <f>F51*$C$112</f>
        <v>1848.829227117598</v>
      </c>
      <c r="G54" s="115">
        <f>G51*$C$112</f>
        <v>2279.7109114082837</v>
      </c>
      <c r="H54" s="115">
        <f>H51*$C$112</f>
        <v>1658.605761413623</v>
      </c>
      <c r="I54" s="73">
        <f>I51*$C$112</f>
        <v>1094.978205372681</v>
      </c>
    </row>
    <row r="55" spans="1:9" ht="18">
      <c r="A55" s="114" t="s">
        <v>123</v>
      </c>
      <c r="B55" s="68"/>
      <c r="C55" s="115"/>
      <c r="D55" s="100"/>
      <c r="E55" s="76">
        <f>E52*$C$111</f>
        <v>1465.685026311899</v>
      </c>
      <c r="F55" s="77">
        <f>F52*$C$111</f>
        <v>1465.685026311899</v>
      </c>
      <c r="G55" s="77">
        <f>G52*$C$111</f>
        <v>1465.6850263118993</v>
      </c>
      <c r="H55" s="77">
        <f>H52*$C$111</f>
        <v>1465.649222325025</v>
      </c>
      <c r="I55" s="51">
        <f>I52*$C$111</f>
        <v>1674.7591527556147</v>
      </c>
    </row>
    <row r="56" spans="1:9" ht="18">
      <c r="A56" s="86" t="s">
        <v>124</v>
      </c>
      <c r="B56" s="52"/>
      <c r="C56" s="74"/>
      <c r="D56" s="53"/>
      <c r="E56" s="54">
        <f>SUM(E53:E55)</f>
        <v>5183.604177900795</v>
      </c>
      <c r="F56" s="55">
        <f>SUM(F53:F55)</f>
        <v>5183.604177900795</v>
      </c>
      <c r="G56" s="55">
        <f>SUM(G53:G55)</f>
        <v>5959.304332735288</v>
      </c>
      <c r="H56" s="55">
        <f>SUM(H53:H55)</f>
        <v>4805.08983645768</v>
      </c>
      <c r="I56" s="55">
        <f>SUM(I53:I55)</f>
        <v>4589.95022821893</v>
      </c>
    </row>
    <row r="57" spans="1:9" ht="18">
      <c r="A57" s="100"/>
      <c r="B57" s="68"/>
      <c r="C57" s="88"/>
      <c r="D57" s="100"/>
      <c r="E57" s="89" t="s">
        <v>97</v>
      </c>
      <c r="F57" s="90">
        <f>AVERAGE(E49:I49)</f>
        <v>22465.7875</v>
      </c>
      <c r="G57" s="91" t="s">
        <v>98</v>
      </c>
      <c r="H57" s="92"/>
      <c r="I57" s="62">
        <f>AVERAGE(E56:I56)</f>
        <v>5144.310550642697</v>
      </c>
    </row>
    <row r="58" spans="1:9" ht="18.75">
      <c r="A58" s="105" t="s">
        <v>125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126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127</v>
      </c>
      <c r="B60" s="98"/>
      <c r="C60" s="112">
        <f>'GDF 4'!C60</f>
        <v>54.20125</v>
      </c>
      <c r="D60" s="100"/>
      <c r="E60" s="13"/>
      <c r="F60" s="13"/>
      <c r="G60" s="13"/>
      <c r="H60" s="13">
        <f>$E$23</f>
        <v>16.25</v>
      </c>
      <c r="I60" s="10">
        <f>$E$23</f>
        <v>16.25</v>
      </c>
    </row>
    <row r="61" spans="1:9" ht="18">
      <c r="A61" s="114" t="s">
        <v>128</v>
      </c>
      <c r="B61" s="98"/>
      <c r="E61" s="14"/>
      <c r="F61" s="14"/>
      <c r="G61" s="14"/>
      <c r="H61" s="14"/>
      <c r="I61" s="15"/>
    </row>
    <row r="62" spans="1:9" ht="18">
      <c r="A62" s="114" t="s">
        <v>129</v>
      </c>
      <c r="B62" s="98"/>
      <c r="C62" s="115"/>
      <c r="D62" s="100"/>
      <c r="E62" s="13"/>
      <c r="F62" s="13"/>
      <c r="G62" s="13"/>
      <c r="H62" s="13"/>
      <c r="I62" s="10"/>
    </row>
    <row r="63" spans="1:9" ht="18">
      <c r="A63" s="111" t="s">
        <v>130</v>
      </c>
      <c r="B63" s="98"/>
      <c r="C63" s="112">
        <f>'GDF 4'!C63</f>
        <v>200</v>
      </c>
      <c r="D63" s="100"/>
      <c r="E63" s="8">
        <f>Sum!$H$15</f>
        <v>12</v>
      </c>
      <c r="F63" s="13">
        <f>$E$63</f>
        <v>12</v>
      </c>
      <c r="G63" s="13">
        <f>$E$63</f>
        <v>12</v>
      </c>
      <c r="H63" s="13"/>
      <c r="I63" s="10"/>
    </row>
    <row r="64" spans="1:9" ht="18">
      <c r="A64" s="111" t="s">
        <v>131</v>
      </c>
      <c r="B64" s="98"/>
      <c r="C64" s="112"/>
      <c r="D64" s="100"/>
      <c r="E64" s="13"/>
      <c r="F64" s="13"/>
      <c r="G64" s="13"/>
      <c r="H64" s="13"/>
      <c r="I64" s="10"/>
    </row>
    <row r="65" spans="1:9" ht="18">
      <c r="A65" s="114" t="s">
        <v>93</v>
      </c>
      <c r="B65" s="98"/>
      <c r="C65" s="115"/>
      <c r="D65" s="100"/>
      <c r="E65" s="13"/>
      <c r="F65" s="13"/>
      <c r="G65" s="13"/>
      <c r="H65" s="13"/>
      <c r="I65" s="10"/>
    </row>
    <row r="66" spans="1:9" ht="18">
      <c r="A66" s="111" t="s">
        <v>132</v>
      </c>
      <c r="B66" s="98"/>
      <c r="C66" s="112">
        <f>'GDF 4'!C66</f>
        <v>160</v>
      </c>
      <c r="D66" s="100"/>
      <c r="E66" s="13"/>
      <c r="F66" s="13"/>
      <c r="G66" s="13"/>
      <c r="H66" s="13">
        <f>$E$23</f>
        <v>16.25</v>
      </c>
      <c r="I66" s="10">
        <f>$E$23</f>
        <v>16.25</v>
      </c>
    </row>
    <row r="67" spans="1:9" ht="18">
      <c r="A67" s="42" t="s">
        <v>130</v>
      </c>
      <c r="B67" s="117"/>
      <c r="C67" s="112">
        <f>'GDF 4'!C67</f>
        <v>160</v>
      </c>
      <c r="D67" s="81"/>
      <c r="E67" s="13">
        <f>$E$63</f>
        <v>12</v>
      </c>
      <c r="F67" s="13">
        <f>$E$63</f>
        <v>12</v>
      </c>
      <c r="G67" s="13">
        <f>$E$63</f>
        <v>12</v>
      </c>
      <c r="H67" s="16"/>
      <c r="I67" s="12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133</v>
      </c>
      <c r="B69" s="68"/>
      <c r="C69" s="115"/>
      <c r="D69" s="100"/>
      <c r="E69" s="84">
        <v>4320</v>
      </c>
      <c r="F69" s="85">
        <v>4320</v>
      </c>
      <c r="G69" s="85">
        <v>4320</v>
      </c>
      <c r="H69" s="85">
        <v>3480.7703125</v>
      </c>
      <c r="I69" s="85">
        <v>3480.7703125</v>
      </c>
    </row>
    <row r="70" spans="1:9" ht="18">
      <c r="A70" s="114" t="s">
        <v>134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3480.7703125</v>
      </c>
      <c r="I70" s="73">
        <v>3480.7703125</v>
      </c>
    </row>
    <row r="71" spans="1:9" ht="18">
      <c r="A71" s="114" t="s">
        <v>135</v>
      </c>
      <c r="B71" s="68"/>
      <c r="C71" s="115"/>
      <c r="D71" s="100"/>
      <c r="E71" s="74">
        <v>4320</v>
      </c>
      <c r="F71" s="74">
        <v>4320</v>
      </c>
      <c r="G71" s="74">
        <v>4320</v>
      </c>
      <c r="H71" s="74">
        <v>0</v>
      </c>
      <c r="I71" s="75">
        <v>0</v>
      </c>
    </row>
    <row r="72" spans="1:9" ht="18">
      <c r="A72" s="114" t="s">
        <v>136</v>
      </c>
      <c r="B72" s="68"/>
      <c r="C72" s="115"/>
      <c r="D72" s="100"/>
      <c r="E72" s="115">
        <f>E70*$C113</f>
        <v>0</v>
      </c>
      <c r="F72" s="115">
        <f>F70*$C113</f>
        <v>0</v>
      </c>
      <c r="G72" s="115">
        <f>G70*$C113</f>
        <v>0</v>
      </c>
      <c r="H72" s="115">
        <f>H70*$C113</f>
        <v>1399.6692706759807</v>
      </c>
      <c r="I72" s="73">
        <f>I70*$C113</f>
        <v>1399.6692706759807</v>
      </c>
    </row>
    <row r="73" spans="1:9" ht="18">
      <c r="A73" s="114" t="s">
        <v>137</v>
      </c>
      <c r="B73" s="68"/>
      <c r="C73" s="115"/>
      <c r="D73" s="100"/>
      <c r="E73" s="115">
        <f>E71*$C112</f>
        <v>887.3517587065729</v>
      </c>
      <c r="F73" s="115">
        <f>F71*$C112</f>
        <v>887.3517587065729</v>
      </c>
      <c r="G73" s="115">
        <f>G71*$C112</f>
        <v>887.3517587065729</v>
      </c>
      <c r="H73" s="115">
        <f>H71*$C112</f>
        <v>0</v>
      </c>
      <c r="I73" s="73">
        <f>I71*$C112</f>
        <v>0</v>
      </c>
    </row>
    <row r="74" spans="1:9" ht="18">
      <c r="A74" s="86" t="s">
        <v>138</v>
      </c>
      <c r="B74" s="47"/>
      <c r="C74" s="74"/>
      <c r="D74" s="53"/>
      <c r="E74" s="48">
        <f>SUM(E72:E73)</f>
        <v>887.3517587065729</v>
      </c>
      <c r="F74" s="49">
        <f>SUM(F72:F73)</f>
        <v>887.3517587065729</v>
      </c>
      <c r="G74" s="49">
        <f>SUM(G72:G73)</f>
        <v>887.3517587065729</v>
      </c>
      <c r="H74" s="49">
        <f>SUM(H72:H73)</f>
        <v>1399.6692706759807</v>
      </c>
      <c r="I74" s="49">
        <f>SUM(I72:I73)</f>
        <v>1399.6692706759807</v>
      </c>
    </row>
    <row r="75" spans="1:9" ht="18">
      <c r="A75" s="100"/>
      <c r="B75" s="98"/>
      <c r="C75" s="88"/>
      <c r="D75" s="100"/>
      <c r="E75" s="89" t="s">
        <v>97</v>
      </c>
      <c r="F75" s="90">
        <f>AVERAGE(E69:I69)</f>
        <v>3984.3081250000005</v>
      </c>
      <c r="G75" s="91" t="s">
        <v>98</v>
      </c>
      <c r="H75" s="92"/>
      <c r="I75" s="62">
        <f>AVERAGE(E74:I74)</f>
        <v>1092.2787634943359</v>
      </c>
    </row>
    <row r="76" spans="1:9" ht="18.75">
      <c r="A76" s="105" t="s">
        <v>139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140</v>
      </c>
      <c r="B77" s="107"/>
      <c r="C77" s="64">
        <f>'GDF 4'!C77</f>
        <v>54.05375</v>
      </c>
      <c r="D77" s="109"/>
      <c r="E77" s="17">
        <f>$E$23</f>
        <v>16.25</v>
      </c>
      <c r="F77" s="17">
        <f>$E$23</f>
        <v>16.25</v>
      </c>
      <c r="G77" s="17">
        <f>$E$23</f>
        <v>16.25</v>
      </c>
      <c r="H77" s="17">
        <f>$E$23</f>
        <v>16.25</v>
      </c>
      <c r="I77" s="18">
        <f>$E$23</f>
        <v>16.25</v>
      </c>
    </row>
    <row r="78" spans="1:9" ht="18">
      <c r="A78" s="42" t="s">
        <v>141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142</v>
      </c>
      <c r="B80" s="68"/>
      <c r="C80" s="112"/>
      <c r="D80" s="100"/>
      <c r="E80" s="84">
        <v>878.3734375</v>
      </c>
      <c r="F80" s="85">
        <v>878.3734375</v>
      </c>
      <c r="G80" s="85">
        <v>878.3734375</v>
      </c>
      <c r="H80" s="85">
        <v>878.3734375</v>
      </c>
      <c r="I80" s="85">
        <v>878.3734375</v>
      </c>
    </row>
    <row r="81" spans="1:9" ht="18">
      <c r="A81" s="86" t="s">
        <v>143</v>
      </c>
      <c r="B81" s="47"/>
      <c r="C81" s="27"/>
      <c r="D81" s="53"/>
      <c r="E81" s="48">
        <f>E80*$C113</f>
        <v>353.20696233006015</v>
      </c>
      <c r="F81" s="49">
        <f>F80*$C113</f>
        <v>353.20696233006015</v>
      </c>
      <c r="G81" s="49">
        <f>G80*$C113</f>
        <v>353.20696233006015</v>
      </c>
      <c r="H81" s="49">
        <f>H80*$C113</f>
        <v>353.20696233006015</v>
      </c>
      <c r="I81" s="49">
        <f>I80*$C113</f>
        <v>353.20696233006015</v>
      </c>
    </row>
    <row r="82" spans="1:9" ht="18">
      <c r="A82" s="100"/>
      <c r="B82" s="98"/>
      <c r="C82" s="88"/>
      <c r="D82" s="100"/>
      <c r="E82" s="89" t="s">
        <v>97</v>
      </c>
      <c r="F82" s="90">
        <f>AVERAGE(E80:I80)</f>
        <v>878.3734375</v>
      </c>
      <c r="G82" s="91" t="s">
        <v>98</v>
      </c>
      <c r="H82" s="92"/>
      <c r="I82" s="62">
        <f>AVERAGE(E81:I81)</f>
        <v>353.20696233006015</v>
      </c>
    </row>
    <row r="83" spans="1:9" ht="18.75">
      <c r="A83" s="105" t="s">
        <v>144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140</v>
      </c>
      <c r="B84" s="107"/>
      <c r="C84" s="64">
        <f>'GDF 4'!C84</f>
        <v>54.05375</v>
      </c>
      <c r="D84" s="109"/>
      <c r="E84" s="17">
        <f>$E$23</f>
        <v>16.25</v>
      </c>
      <c r="F84" s="17">
        <f>$E$23</f>
        <v>16.25</v>
      </c>
      <c r="G84" s="17">
        <f>$E$23</f>
        <v>16.25</v>
      </c>
      <c r="H84" s="17">
        <f>$E$23</f>
        <v>16.25</v>
      </c>
      <c r="I84" s="18">
        <f>$E$23</f>
        <v>16.25</v>
      </c>
    </row>
    <row r="85" spans="1:9" ht="18">
      <c r="A85" s="42" t="s">
        <v>141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145</v>
      </c>
      <c r="B87" s="68"/>
      <c r="C87" s="115"/>
      <c r="D87" s="100"/>
      <c r="E87" s="84">
        <v>878.3734375</v>
      </c>
      <c r="F87" s="85">
        <v>878.3734375</v>
      </c>
      <c r="G87" s="85">
        <v>878.3734375</v>
      </c>
      <c r="H87" s="85">
        <v>878.3734375</v>
      </c>
      <c r="I87" s="85">
        <v>878.3734375</v>
      </c>
    </row>
    <row r="88" spans="1:9" ht="18">
      <c r="A88" s="86" t="s">
        <v>146</v>
      </c>
      <c r="B88" s="52"/>
      <c r="C88" s="74"/>
      <c r="D88" s="53"/>
      <c r="E88" s="48">
        <f>E87*$C113</f>
        <v>353.20696233006015</v>
      </c>
      <c r="F88" s="49">
        <f>F87*$C113</f>
        <v>353.20696233006015</v>
      </c>
      <c r="G88" s="49">
        <f>G87*$C113</f>
        <v>353.20696233006015</v>
      </c>
      <c r="H88" s="49">
        <f>H87*$C113</f>
        <v>353.20696233006015</v>
      </c>
      <c r="I88" s="49">
        <f>I87*$C113</f>
        <v>353.20696233006015</v>
      </c>
    </row>
    <row r="89" spans="1:9" ht="18">
      <c r="A89" s="100"/>
      <c r="B89" s="68"/>
      <c r="C89" s="88"/>
      <c r="D89" s="100"/>
      <c r="E89" s="89" t="s">
        <v>97</v>
      </c>
      <c r="F89" s="90">
        <f>AVERAGE(E87:I87)</f>
        <v>878.3734375</v>
      </c>
      <c r="G89" s="91" t="s">
        <v>98</v>
      </c>
      <c r="H89" s="92"/>
      <c r="I89" s="62">
        <f>AVERAGE(E88:I88)</f>
        <v>353.20696233006015</v>
      </c>
    </row>
    <row r="90" spans="1:9" ht="18.75">
      <c r="A90" s="105" t="s">
        <v>147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126</v>
      </c>
      <c r="B91" s="107"/>
      <c r="C91" s="108"/>
      <c r="D91" s="292" t="s">
        <v>263</v>
      </c>
      <c r="E91" s="24"/>
      <c r="F91" s="24"/>
      <c r="G91" s="24"/>
      <c r="H91" s="24"/>
      <c r="I91" s="25"/>
    </row>
    <row r="92" spans="1:9" ht="18">
      <c r="A92" s="111" t="s">
        <v>148</v>
      </c>
      <c r="B92" s="98"/>
      <c r="C92" s="294">
        <f>'GDF 4'!C92</f>
        <v>595</v>
      </c>
      <c r="D92" s="296">
        <v>192</v>
      </c>
      <c r="E92" s="302">
        <v>1</v>
      </c>
      <c r="F92" s="302">
        <v>1</v>
      </c>
      <c r="G92" s="302">
        <v>1</v>
      </c>
      <c r="H92" s="302">
        <v>1</v>
      </c>
      <c r="I92" s="302">
        <v>1</v>
      </c>
    </row>
    <row r="93" spans="1:9" ht="18">
      <c r="A93" s="111" t="s">
        <v>149</v>
      </c>
      <c r="B93" s="98"/>
      <c r="C93" s="294">
        <f>'GDF 4'!C93</f>
        <v>885</v>
      </c>
      <c r="D93" s="296">
        <v>245</v>
      </c>
      <c r="E93" s="302">
        <v>6</v>
      </c>
      <c r="F93" s="302">
        <v>6</v>
      </c>
      <c r="G93" s="302">
        <v>6</v>
      </c>
      <c r="H93" s="302">
        <v>6</v>
      </c>
      <c r="I93" s="302">
        <v>6</v>
      </c>
    </row>
    <row r="94" spans="1:9" ht="18">
      <c r="A94" s="111" t="s">
        <v>150</v>
      </c>
      <c r="B94" s="98"/>
      <c r="C94" s="294">
        <f>'GDF 4'!C94</f>
        <v>3995</v>
      </c>
      <c r="D94" s="296">
        <v>1197</v>
      </c>
      <c r="E94" s="13">
        <v>1</v>
      </c>
      <c r="F94" s="13">
        <v>1</v>
      </c>
      <c r="G94" s="13">
        <v>1</v>
      </c>
      <c r="H94" s="13">
        <v>1</v>
      </c>
      <c r="I94" s="10">
        <v>1</v>
      </c>
    </row>
    <row r="95" spans="1:9" ht="18">
      <c r="A95" s="111" t="s">
        <v>331</v>
      </c>
      <c r="B95" s="98"/>
      <c r="C95" s="285">
        <v>670</v>
      </c>
      <c r="D95" s="296"/>
      <c r="E95" s="56">
        <v>1</v>
      </c>
      <c r="F95" s="56">
        <v>1</v>
      </c>
      <c r="G95" s="56">
        <v>1</v>
      </c>
      <c r="H95" s="56">
        <v>1</v>
      </c>
      <c r="I95" s="57">
        <v>1</v>
      </c>
    </row>
    <row r="96" spans="1:9" ht="18">
      <c r="A96" s="111" t="s">
        <v>332</v>
      </c>
      <c r="B96" s="98"/>
      <c r="C96" s="285">
        <v>1095</v>
      </c>
      <c r="D96" s="296"/>
      <c r="E96" s="98">
        <f>Sum!$D$13</f>
        <v>2.5</v>
      </c>
      <c r="F96" s="98">
        <f>$E$8</f>
        <v>2.5</v>
      </c>
      <c r="G96" s="98">
        <f>F96</f>
        <v>2.5</v>
      </c>
      <c r="H96" s="98">
        <f>G96</f>
        <v>2.5</v>
      </c>
      <c r="I96" s="113">
        <f>$E$8</f>
        <v>2.5</v>
      </c>
    </row>
    <row r="97" spans="1:9" ht="18">
      <c r="A97" s="307" t="s">
        <v>284</v>
      </c>
      <c r="B97" s="308"/>
      <c r="C97" s="294"/>
      <c r="D97" s="309"/>
      <c r="E97" s="302"/>
      <c r="F97" s="13"/>
      <c r="G97" s="13"/>
      <c r="H97" s="13"/>
      <c r="I97" s="10"/>
    </row>
    <row r="98" spans="1:9" ht="18">
      <c r="A98" s="42" t="s">
        <v>151</v>
      </c>
      <c r="B98" s="117"/>
      <c r="C98" s="286">
        <f>300+(200*F98)</f>
        <v>1500</v>
      </c>
      <c r="D98" s="297">
        <v>1280</v>
      </c>
      <c r="E98" s="41">
        <f>1*(E63/2)</f>
        <v>6</v>
      </c>
      <c r="F98" s="16">
        <f>$E$98</f>
        <v>6</v>
      </c>
      <c r="G98" s="16">
        <f>$E$98</f>
        <v>6</v>
      </c>
      <c r="H98" s="16">
        <f>$E$98</f>
        <v>6</v>
      </c>
      <c r="I98" s="12">
        <f>$E$98</f>
        <v>6</v>
      </c>
    </row>
    <row r="99" spans="1:9" ht="18">
      <c r="A99" s="114"/>
      <c r="B99" s="98"/>
      <c r="C99" s="115"/>
      <c r="D99" s="100"/>
      <c r="E99" s="68"/>
      <c r="F99" s="68"/>
      <c r="G99" s="68"/>
      <c r="H99" s="68"/>
      <c r="I99" s="28"/>
    </row>
    <row r="100" spans="1:9" ht="18">
      <c r="A100" s="83" t="s">
        <v>152</v>
      </c>
      <c r="B100" s="98"/>
      <c r="C100" s="115"/>
      <c r="D100" s="100"/>
      <c r="E100" s="84">
        <f>+E92*$C$92+E93*$C$93+E94*$C$94+E95*$C$95+E96*$C$96+$C$98</f>
        <v>14807.5</v>
      </c>
      <c r="F100" s="84">
        <f>+F92*$C$92+F93*$C$93+F94*$C$94+F95*$C$95+F96*$C$96+$C$98</f>
        <v>14807.5</v>
      </c>
      <c r="G100" s="84">
        <f>+G92*$C$92+G93*$C$93+G94*$C$94+G95*$C$95+G96*$C$96+$C$98</f>
        <v>14807.5</v>
      </c>
      <c r="H100" s="84">
        <f>+H92*$C$92+H93*$C$93+H94*$C$94+H95*$C$95+H96*$C$96+$C$98</f>
        <v>14807.5</v>
      </c>
      <c r="I100" s="84">
        <f>+I92*$C$92+I93*$C$93+I94*$C$94+I95*$C$95+I96*$C$96+$C$98</f>
        <v>14807.5</v>
      </c>
    </row>
    <row r="101" spans="1:9" ht="19.5" thickBot="1" thickTop="1">
      <c r="A101" s="86" t="s">
        <v>153</v>
      </c>
      <c r="B101" s="52"/>
      <c r="C101" s="74"/>
      <c r="D101" s="53"/>
      <c r="E101" s="48">
        <f>E100*$C111</f>
        <v>2409.85243472279</v>
      </c>
      <c r="F101" s="49">
        <f>F100*$C111</f>
        <v>2409.85243472279</v>
      </c>
      <c r="G101" s="49">
        <f>G100*$C111</f>
        <v>2409.85243472279</v>
      </c>
      <c r="H101" s="49">
        <f>H100*$C111</f>
        <v>2409.85243472279</v>
      </c>
      <c r="I101" s="49">
        <f>I100*$C111</f>
        <v>2409.85243472279</v>
      </c>
    </row>
    <row r="102" spans="1:9" ht="19.5" thickBot="1" thickTop="1">
      <c r="A102" s="288" t="s">
        <v>259</v>
      </c>
      <c r="B102" s="298"/>
      <c r="C102" s="289"/>
      <c r="D102" s="290"/>
      <c r="E102" s="291">
        <v>2070</v>
      </c>
      <c r="F102" s="291">
        <v>2070</v>
      </c>
      <c r="G102" s="291">
        <v>2070</v>
      </c>
      <c r="H102" s="291">
        <v>2070</v>
      </c>
      <c r="I102" s="291">
        <v>2070</v>
      </c>
    </row>
    <row r="103" spans="1:9" ht="19.5" thickBot="1" thickTop="1">
      <c r="A103" s="288" t="s">
        <v>343</v>
      </c>
      <c r="C103" s="289"/>
      <c r="D103" s="290"/>
      <c r="E103" s="291">
        <v>500</v>
      </c>
      <c r="F103" s="291">
        <v>500</v>
      </c>
      <c r="G103" s="291">
        <v>500</v>
      </c>
      <c r="H103" s="291">
        <v>0</v>
      </c>
      <c r="I103" s="291">
        <v>0</v>
      </c>
    </row>
    <row r="104" spans="1:9" ht="19.5" thickBot="1" thickTop="1">
      <c r="A104" s="100"/>
      <c r="B104" s="98"/>
      <c r="C104" s="115"/>
      <c r="D104" s="100"/>
      <c r="E104" s="89" t="s">
        <v>97</v>
      </c>
      <c r="F104" s="90">
        <f>AVERAGE(E100:I100)</f>
        <v>14807.5</v>
      </c>
      <c r="G104" s="91" t="s">
        <v>98</v>
      </c>
      <c r="H104" s="92"/>
      <c r="I104" s="62">
        <f>AVERAGE(E101:I101)+E102+AVERAGE(E103:I103)</f>
        <v>4779.85243472279</v>
      </c>
    </row>
    <row r="105" spans="1:9" ht="18">
      <c r="A105" s="29"/>
      <c r="B105" s="103"/>
      <c r="C105" s="30"/>
      <c r="D105" s="29"/>
      <c r="E105" s="31"/>
      <c r="F105" s="31"/>
      <c r="G105" s="31"/>
      <c r="H105" s="31"/>
      <c r="I105" s="31"/>
    </row>
    <row r="106" spans="2:9" ht="18"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32" t="s">
        <v>154</v>
      </c>
      <c r="B107" s="98"/>
      <c r="C107" s="88"/>
      <c r="D107" s="100"/>
      <c r="E107" s="84">
        <f>SUM(E18,E49,E69,E80,E87,E100)</f>
        <v>49497.771875</v>
      </c>
      <c r="F107" s="85">
        <f>SUM(F18,F49,F69,F80,F87,F100)</f>
        <v>49497.771875</v>
      </c>
      <c r="G107" s="85">
        <f>SUM(G18,G49,G69,G80,G87,G100)</f>
        <v>52452.996875</v>
      </c>
      <c r="H107" s="85">
        <f>SUM(H18,H49,H69,H80,H87,H100)</f>
        <v>47264.0721875</v>
      </c>
      <c r="I107" s="33">
        <f>SUM(I18,I49,I69,I80,I87,I100)</f>
        <v>46151.5996875</v>
      </c>
    </row>
    <row r="108" spans="1:9" ht="18">
      <c r="A108" s="32" t="s">
        <v>155</v>
      </c>
      <c r="B108" s="98"/>
      <c r="C108" s="88"/>
      <c r="D108" s="100"/>
      <c r="E108" s="84">
        <f>SUM(E19,E56,E74,E81,E88,E101,E102:E103)</f>
        <v>12981.130965956278</v>
      </c>
      <c r="F108" s="84">
        <f>SUM(F19,F56,F74,F81,F88,F101,F102:F103)</f>
        <v>12981.130965956278</v>
      </c>
      <c r="G108" s="84">
        <f>SUM(G19,G56,G74,G81,G88,G101,G102:G103)</f>
        <v>13756.831120790768</v>
      </c>
      <c r="H108" s="84">
        <f>SUM(H19,H56,H74,H81,H88,H101,H102:H103)</f>
        <v>12614.93413648257</v>
      </c>
      <c r="I108" s="84">
        <f>SUM(I19,I56,I74,I81,I88,I101,I102:I103)</f>
        <v>12399.79452824382</v>
      </c>
    </row>
    <row r="109" spans="2:9" ht="18">
      <c r="B109" s="98"/>
      <c r="C109" s="99"/>
      <c r="D109" s="100"/>
      <c r="E109" s="98"/>
      <c r="F109" s="98"/>
      <c r="G109" s="98"/>
      <c r="H109" s="98"/>
      <c r="I109" s="98"/>
    </row>
    <row r="110" spans="1:9" ht="18">
      <c r="A110" s="97" t="s">
        <v>156</v>
      </c>
      <c r="B110" s="98"/>
      <c r="C110" s="99"/>
      <c r="D110" s="100"/>
      <c r="E110" s="98"/>
      <c r="F110" s="98"/>
      <c r="G110" s="98"/>
      <c r="H110" s="98"/>
      <c r="I110" s="98"/>
    </row>
    <row r="111" spans="1:9" ht="18">
      <c r="A111" s="97" t="s">
        <v>157</v>
      </c>
      <c r="B111" s="98"/>
      <c r="C111" s="34">
        <f>(0.1*(1+0.1)^10)/((1+0.1)^10-1)</f>
        <v>0.16274539488251155</v>
      </c>
      <c r="D111" s="100"/>
      <c r="E111" s="98"/>
      <c r="F111" s="35" t="s">
        <v>158</v>
      </c>
      <c r="G111" s="36"/>
      <c r="H111" s="37"/>
      <c r="I111" s="38">
        <f>AVERAGE(E107:I107)</f>
        <v>48972.84249999999</v>
      </c>
    </row>
    <row r="112" spans="1:9" ht="18">
      <c r="A112" s="97" t="s">
        <v>159</v>
      </c>
      <c r="B112" s="98"/>
      <c r="C112" s="34">
        <f>(0.1*(1+0.1)^7)/((1+0.1)^7-1)</f>
        <v>0.20540549970059557</v>
      </c>
      <c r="D112" s="100"/>
      <c r="E112" s="98"/>
      <c r="F112" s="35" t="s">
        <v>160</v>
      </c>
      <c r="G112" s="36"/>
      <c r="H112" s="37"/>
      <c r="I112" s="38">
        <f>AVERAGE(E108:I108)</f>
        <v>12946.76434348594</v>
      </c>
    </row>
    <row r="113" spans="1:9" ht="18">
      <c r="A113" s="97" t="s">
        <v>161</v>
      </c>
      <c r="B113" s="98"/>
      <c r="C113" s="34">
        <f>(0.1*(1+0.1)^3)/((1+0.1)^3-1)</f>
        <v>0.4021148036253773</v>
      </c>
      <c r="D113" s="100"/>
      <c r="E113" s="98"/>
      <c r="F113" s="98"/>
      <c r="G113" s="98"/>
      <c r="H113" s="98"/>
      <c r="I113" s="98"/>
    </row>
    <row r="114" spans="1:9" ht="18">
      <c r="A114" s="97" t="s">
        <v>162</v>
      </c>
      <c r="B114" s="98"/>
      <c r="C114" s="99"/>
      <c r="D114" s="100"/>
      <c r="E114" s="98"/>
      <c r="F114" s="98"/>
      <c r="G114" s="98"/>
      <c r="H114" s="98"/>
      <c r="I114" s="98"/>
    </row>
  </sheetData>
  <mergeCells count="1">
    <mergeCell ref="A17:B17"/>
  </mergeCells>
  <printOptions/>
  <pageMargins left="0.26" right="0.28" top="0.97" bottom="0.36" header="0.22" footer="0.24"/>
  <pageSetup horizontalDpi="600" verticalDpi="600" orientation="landscape" scale="90" r:id="rId1"/>
  <headerFooter alignWithMargins="0">
    <oddHeader>&amp;LEVR Technology Review&amp;RAppendix 4</oddHeader>
    <oddFooter>&amp;RPage 26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Background Material: EVR Cost Analysis Spreadsheet as of August 30, 2002</dc:title>
  <dc:subject/>
  <dc:creator>olopez</dc:creator>
  <cp:keywords/>
  <dc:description/>
  <cp:lastModifiedBy>Alexa Malik</cp:lastModifiedBy>
  <cp:lastPrinted>2002-10-16T19:07:26Z</cp:lastPrinted>
  <dcterms:created xsi:type="dcterms:W3CDTF">2002-02-27T18:41:16Z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