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9.xml" ContentType="application/vnd.openxmlformats-officedocument.spreadsheetml.comments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omments10.xml" ContentType="application/vnd.openxmlformats-officedocument.spreadsheetml.comments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comments12.xml" ContentType="application/vnd.openxmlformats-officedocument.spreadsheetml.comments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comments13.xml" ContentType="application/vnd.openxmlformats-officedocument.spreadsheetml.comments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comments14.xml" ContentType="application/vnd.openxmlformats-officedocument.spreadsheetml.comments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comments15.xml" ContentType="application/vnd.openxmlformats-officedocument.spreadsheetml.comments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comments16.xml" ContentType="application/vnd.openxmlformats-officedocument.spreadsheetml.comments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comments17.xml" ContentType="application/vnd.openxmlformats-officedocument.spreadsheetml.comments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comments18.xml" ContentType="application/vnd.openxmlformats-officedocument.spreadsheetml.comments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comments19.xml" ContentType="application/vnd.openxmlformats-officedocument.spreadsheetml.comments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comments20.xml" ContentType="application/vnd.openxmlformats-officedocument.spreadsheetml.comments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comments21.xml" ContentType="application/vnd.openxmlformats-officedocument.spreadsheetml.comments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comments22.xml" ContentType="application/vnd.openxmlformats-officedocument.spreadsheetml.comments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comments23.xml" ContentType="application/vnd.openxmlformats-officedocument.spreadsheetml.comments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comments24.xml" ContentType="application/vnd.openxmlformats-officedocument.spreadsheetml.comments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comments25.xml" ContentType="application/vnd.openxmlformats-officedocument.spreadsheetml.comments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comments28.xml" ContentType="application/vnd.openxmlformats-officedocument.spreadsheetml.comments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23.xml" ContentType="application/vnd.openxmlformats-officedocument.drawing+xml"/>
  <Override PartName="/xl/worksheets/sheet29.xml" ContentType="application/vnd.openxmlformats-officedocument.spreadsheetml.worksheet+xml"/>
  <Override PartName="/xl/drawings/drawing24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8175" windowHeight="4515" tabRatio="818" firstSheet="26" activeTab="31"/>
  </bookViews>
  <sheets>
    <sheet name="Credit Values" sheetId="1" r:id="rId1"/>
    <sheet name="Sales Base Graph" sheetId="2" r:id="rId2"/>
    <sheet name="Sales Total Graph" sheetId="3" r:id="rId3"/>
    <sheet name="Sales" sheetId="4" r:id="rId4"/>
    <sheet name="Per Vehicle Credits" sheetId="5" r:id="rId5"/>
    <sheet name="2001" sheetId="6" r:id="rId6"/>
    <sheet name="2002" sheetId="7" r:id="rId7"/>
    <sheet name="2003" sheetId="8" r:id="rId8"/>
    <sheet name="2004" sheetId="9" r:id="rId9"/>
    <sheet name="2005" sheetId="10" r:id="rId10"/>
    <sheet name="2006" sheetId="11" r:id="rId11"/>
    <sheet name="2007" sheetId="12" r:id="rId12"/>
    <sheet name="2008" sheetId="13" r:id="rId13"/>
    <sheet name="2009" sheetId="14" r:id="rId14"/>
    <sheet name="2010" sheetId="15" r:id="rId15"/>
    <sheet name="2011" sheetId="16" r:id="rId16"/>
    <sheet name="2012" sheetId="17" r:id="rId17"/>
    <sheet name="2013" sheetId="18" r:id="rId18"/>
    <sheet name="2014" sheetId="19" r:id="rId19"/>
    <sheet name="2015" sheetId="20" r:id="rId20"/>
    <sheet name="2016" sheetId="21" r:id="rId21"/>
    <sheet name="2017" sheetId="22" r:id="rId22"/>
    <sheet name="2018" sheetId="23" r:id="rId23"/>
    <sheet name="2019" sheetId="24" r:id="rId24"/>
    <sheet name="2020" sheetId="25" r:id="rId25"/>
    <sheet name="PZEVs" sheetId="26" r:id="rId26"/>
    <sheet name="Graph" sheetId="27" r:id="rId27"/>
    <sheet name="Fleet totals" sheetId="28" r:id="rId28"/>
    <sheet name="Fleet totals PC-LDT1" sheetId="29" r:id="rId29"/>
    <sheet name="Fleet totals LDT2" sheetId="30" r:id="rId30"/>
    <sheet name="Vehicle Totals" sheetId="31" r:id="rId31"/>
    <sheet name="Vehicle Totals EMFAC2000" sheetId="32" r:id="rId32"/>
    <sheet name="Summary" sheetId="33" r:id="rId33"/>
    <sheet name="Comments" sheetId="34" r:id="rId34"/>
  </sheets>
  <externalReferences>
    <externalReference r:id="rId37"/>
  </externalReferences>
  <definedNames>
    <definedName name="_xlnm.Print_Area" localSheetId="0">'Credit Values'!$A$1:$M$118</definedName>
    <definedName name="_xlnm.Print_Area" localSheetId="27">'Fleet totals'!$A$1:$T$71</definedName>
    <definedName name="_xlnm.Print_Area" localSheetId="29">'Fleet totals LDT2'!$A$1:$S$71</definedName>
    <definedName name="_xlnm.Print_Area" localSheetId="28">'Fleet totals PC-LDT1'!$A$1:$S$71</definedName>
    <definedName name="_xlnm.Print_Area" localSheetId="3">'Sales'!$A$1:$Z$66</definedName>
    <definedName name="_xlnm.Print_Area" localSheetId="30">'Vehicle Totals'!$A$1:$J$72</definedName>
    <definedName name="_xlnm.Print_Area" localSheetId="31">'Vehicle Totals EMFAC2000'!$A$1:$J$72</definedName>
  </definedNames>
  <calcPr fullCalcOnLoad="1" iterate="1" iterateCount="1" iterateDelta="0.001"/>
</workbook>
</file>

<file path=xl/comments10.xml><?xml version="1.0" encoding="utf-8"?>
<comments xmlns="http://schemas.openxmlformats.org/spreadsheetml/2006/main">
  <authors>
    <author>Paul R. Hughes</author>
  </authors>
  <commentList>
    <comment ref="K29" authorId="0">
      <text>
        <r>
          <rPr>
            <b/>
            <sz val="8"/>
            <rFont val="Tahoma"/>
            <family val="0"/>
          </rPr>
          <t>Paul R. Hughes: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ZEV percentage adjusted by credits</t>
        </r>
      </text>
    </comment>
  </commentList>
</comments>
</file>

<file path=xl/comments11.xml><?xml version="1.0" encoding="utf-8"?>
<comments xmlns="http://schemas.openxmlformats.org/spreadsheetml/2006/main">
  <authors>
    <author>Paul R. Hughes</author>
  </authors>
  <commentList>
    <comment ref="K29" authorId="0">
      <text>
        <r>
          <rPr>
            <b/>
            <sz val="8"/>
            <rFont val="Tahoma"/>
            <family val="0"/>
          </rPr>
          <t>Paul R. Hughes: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ZEV percentage adjusted by credits</t>
        </r>
      </text>
    </comment>
  </commentList>
</comments>
</file>

<file path=xl/comments12.xml><?xml version="1.0" encoding="utf-8"?>
<comments xmlns="http://schemas.openxmlformats.org/spreadsheetml/2006/main">
  <authors>
    <author>Paul R. Hughes</author>
  </authors>
  <commentList>
    <comment ref="K29" authorId="0">
      <text>
        <r>
          <rPr>
            <b/>
            <sz val="8"/>
            <rFont val="Tahoma"/>
            <family val="0"/>
          </rPr>
          <t>Paul R. Hughes: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ZEV percentage adjusted by credits</t>
        </r>
      </text>
    </comment>
  </commentList>
</comments>
</file>

<file path=xl/comments13.xml><?xml version="1.0" encoding="utf-8"?>
<comments xmlns="http://schemas.openxmlformats.org/spreadsheetml/2006/main">
  <authors>
    <author>Paul R. Hughes</author>
  </authors>
  <commentList>
    <comment ref="K29" authorId="0">
      <text>
        <r>
          <rPr>
            <b/>
            <sz val="8"/>
            <rFont val="Tahoma"/>
            <family val="0"/>
          </rPr>
          <t>Paul R. Hughes: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ZEV percentage adjusted by credits</t>
        </r>
      </text>
    </comment>
  </commentList>
</comments>
</file>

<file path=xl/comments14.xml><?xml version="1.0" encoding="utf-8"?>
<comments xmlns="http://schemas.openxmlformats.org/spreadsheetml/2006/main">
  <authors>
    <author>Paul R. Hughes</author>
  </authors>
  <commentList>
    <comment ref="K29" authorId="0">
      <text>
        <r>
          <rPr>
            <b/>
            <sz val="8"/>
            <rFont val="Tahoma"/>
            <family val="0"/>
          </rPr>
          <t>Paul R. Hughes: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ZEV percentage adjusted by credits</t>
        </r>
      </text>
    </comment>
  </commentList>
</comments>
</file>

<file path=xl/comments15.xml><?xml version="1.0" encoding="utf-8"?>
<comments xmlns="http://schemas.openxmlformats.org/spreadsheetml/2006/main">
  <authors>
    <author>Paul R. Hughes</author>
  </authors>
  <commentList>
    <comment ref="K29" authorId="0">
      <text>
        <r>
          <rPr>
            <b/>
            <sz val="8"/>
            <rFont val="Tahoma"/>
            <family val="0"/>
          </rPr>
          <t>Paul R. Hughes: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ZEV percentage adjusted by credits</t>
        </r>
      </text>
    </comment>
  </commentList>
</comments>
</file>

<file path=xl/comments16.xml><?xml version="1.0" encoding="utf-8"?>
<comments xmlns="http://schemas.openxmlformats.org/spreadsheetml/2006/main">
  <authors>
    <author>Paul R. Hughes</author>
  </authors>
  <commentList>
    <comment ref="K29" authorId="0">
      <text>
        <r>
          <rPr>
            <b/>
            <sz val="8"/>
            <rFont val="Tahoma"/>
            <family val="0"/>
          </rPr>
          <t>Paul R. Hughes: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ZEV percentage adjusted by credits</t>
        </r>
      </text>
    </comment>
  </commentList>
</comments>
</file>

<file path=xl/comments17.xml><?xml version="1.0" encoding="utf-8"?>
<comments xmlns="http://schemas.openxmlformats.org/spreadsheetml/2006/main">
  <authors>
    <author>Paul R. Hughes</author>
  </authors>
  <commentList>
    <comment ref="K29" authorId="0">
      <text>
        <r>
          <rPr>
            <b/>
            <sz val="8"/>
            <rFont val="Tahoma"/>
            <family val="0"/>
          </rPr>
          <t>Paul R. Hughes: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ZEV percentage adjusted by credits</t>
        </r>
      </text>
    </comment>
  </commentList>
</comments>
</file>

<file path=xl/comments18.xml><?xml version="1.0" encoding="utf-8"?>
<comments xmlns="http://schemas.openxmlformats.org/spreadsheetml/2006/main">
  <authors>
    <author>Paul R. Hughes</author>
  </authors>
  <commentList>
    <comment ref="K29" authorId="0">
      <text>
        <r>
          <rPr>
            <b/>
            <sz val="8"/>
            <rFont val="Tahoma"/>
            <family val="0"/>
          </rPr>
          <t>Paul R. Hughes: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ZEV percentage adjusted by credits</t>
        </r>
      </text>
    </comment>
  </commentList>
</comments>
</file>

<file path=xl/comments19.xml><?xml version="1.0" encoding="utf-8"?>
<comments xmlns="http://schemas.openxmlformats.org/spreadsheetml/2006/main">
  <authors>
    <author>Paul R. Hughes</author>
  </authors>
  <commentList>
    <comment ref="K29" authorId="0">
      <text>
        <r>
          <rPr>
            <b/>
            <sz val="8"/>
            <rFont val="Tahoma"/>
            <family val="0"/>
          </rPr>
          <t>Paul R. Hughes: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ZEV percentage adjusted by credits</t>
        </r>
      </text>
    </comment>
  </commentList>
</comments>
</file>

<file path=xl/comments20.xml><?xml version="1.0" encoding="utf-8"?>
<comments xmlns="http://schemas.openxmlformats.org/spreadsheetml/2006/main">
  <authors>
    <author>Paul R. Hughes</author>
  </authors>
  <commentList>
    <comment ref="K29" authorId="0">
      <text>
        <r>
          <rPr>
            <b/>
            <sz val="8"/>
            <rFont val="Tahoma"/>
            <family val="0"/>
          </rPr>
          <t>Paul R. Hughes: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ZEV percentage adjusted by credits</t>
        </r>
      </text>
    </comment>
  </commentList>
</comments>
</file>

<file path=xl/comments21.xml><?xml version="1.0" encoding="utf-8"?>
<comments xmlns="http://schemas.openxmlformats.org/spreadsheetml/2006/main">
  <authors>
    <author>Paul R. Hughes</author>
  </authors>
  <commentList>
    <comment ref="K29" authorId="0">
      <text>
        <r>
          <rPr>
            <b/>
            <sz val="8"/>
            <rFont val="Tahoma"/>
            <family val="0"/>
          </rPr>
          <t>Paul R. Hughes: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ZEV percentage adjusted by credits</t>
        </r>
      </text>
    </comment>
  </commentList>
</comments>
</file>

<file path=xl/comments22.xml><?xml version="1.0" encoding="utf-8"?>
<comments xmlns="http://schemas.openxmlformats.org/spreadsheetml/2006/main">
  <authors>
    <author>Paul R. Hughes</author>
  </authors>
  <commentList>
    <comment ref="K29" authorId="0">
      <text>
        <r>
          <rPr>
            <b/>
            <sz val="8"/>
            <rFont val="Tahoma"/>
            <family val="0"/>
          </rPr>
          <t>Paul R. Hughes: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ZEV percentage adjusted by credits</t>
        </r>
      </text>
    </comment>
  </commentList>
</comments>
</file>

<file path=xl/comments23.xml><?xml version="1.0" encoding="utf-8"?>
<comments xmlns="http://schemas.openxmlformats.org/spreadsheetml/2006/main">
  <authors>
    <author>Paul R. Hughes</author>
  </authors>
  <commentList>
    <comment ref="K29" authorId="0">
      <text>
        <r>
          <rPr>
            <b/>
            <sz val="8"/>
            <rFont val="Tahoma"/>
            <family val="0"/>
          </rPr>
          <t>Paul R. Hughes: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ZEV percentage adjusted by credits</t>
        </r>
      </text>
    </comment>
  </commentList>
</comments>
</file>

<file path=xl/comments24.xml><?xml version="1.0" encoding="utf-8"?>
<comments xmlns="http://schemas.openxmlformats.org/spreadsheetml/2006/main">
  <authors>
    <author>Paul R. Hughes</author>
  </authors>
  <commentList>
    <comment ref="K29" authorId="0">
      <text>
        <r>
          <rPr>
            <b/>
            <sz val="8"/>
            <rFont val="Tahoma"/>
            <family val="0"/>
          </rPr>
          <t>Paul R. Hughes: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ZEV percentage adjusted by credits</t>
        </r>
      </text>
    </comment>
  </commentList>
</comments>
</file>

<file path=xl/comments25.xml><?xml version="1.0" encoding="utf-8"?>
<comments xmlns="http://schemas.openxmlformats.org/spreadsheetml/2006/main">
  <authors>
    <author>Paul R. Hughes</author>
  </authors>
  <commentList>
    <comment ref="K29" authorId="0">
      <text>
        <r>
          <rPr>
            <b/>
            <sz val="8"/>
            <rFont val="Tahoma"/>
            <family val="0"/>
          </rPr>
          <t>Paul R. Hughes: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ZEV percentage adjusted by credits</t>
        </r>
      </text>
    </comment>
  </commentList>
</comments>
</file>

<file path=xl/comments28.xml><?xml version="1.0" encoding="utf-8"?>
<comments xmlns="http://schemas.openxmlformats.org/spreadsheetml/2006/main">
  <authors>
    <author>Paul R. Hughes</author>
  </authors>
  <commentList>
    <comment ref="B34" authorId="0">
      <text>
        <r>
          <rPr>
            <b/>
            <sz val="8"/>
            <rFont val="Tahoma"/>
            <family val="0"/>
          </rPr>
          <t>Paul R. Hughes: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PC/LDT1 + 17% LDT2</t>
        </r>
      </text>
    </comment>
    <comment ref="B35" authorId="0">
      <text>
        <r>
          <rPr>
            <b/>
            <sz val="8"/>
            <rFont val="Tahoma"/>
            <family val="0"/>
          </rPr>
          <t>Paul R. Hughes:</t>
        </r>
        <r>
          <rPr>
            <sz val="8"/>
            <rFont val="Tahoma"/>
            <family val="0"/>
          </rPr>
          <t xml:space="preserve">
PC/LDT1 + 34% LDT2</t>
        </r>
      </text>
    </comment>
    <comment ref="B36" authorId="0">
      <text>
        <r>
          <rPr>
            <b/>
            <sz val="8"/>
            <rFont val="Tahoma"/>
            <family val="0"/>
          </rPr>
          <t>Paul R. Hughes:</t>
        </r>
        <r>
          <rPr>
            <sz val="8"/>
            <rFont val="Tahoma"/>
            <family val="0"/>
          </rPr>
          <t xml:space="preserve">
PC/LDT! + 51% LDT2</t>
        </r>
      </text>
    </comment>
    <comment ref="B37" authorId="0">
      <text>
        <r>
          <rPr>
            <b/>
            <sz val="8"/>
            <rFont val="Tahoma"/>
            <family val="0"/>
          </rPr>
          <t>Paul R. Hughes:</t>
        </r>
        <r>
          <rPr>
            <sz val="8"/>
            <rFont val="Tahoma"/>
            <family val="0"/>
          </rPr>
          <t xml:space="preserve">
PC/LDT1 + 68% LDT2</t>
        </r>
      </text>
    </comment>
    <comment ref="B38" authorId="0">
      <text>
        <r>
          <rPr>
            <b/>
            <sz val="8"/>
            <rFont val="Tahoma"/>
            <family val="0"/>
          </rPr>
          <t>Paul R. Hughes:</t>
        </r>
        <r>
          <rPr>
            <sz val="8"/>
            <rFont val="Tahoma"/>
            <family val="0"/>
          </rPr>
          <t xml:space="preserve">
PC/LDT1 + 85% LDT2</t>
        </r>
      </text>
    </comment>
    <comment ref="B39" authorId="0">
      <text>
        <r>
          <rPr>
            <b/>
            <sz val="8"/>
            <rFont val="Tahoma"/>
            <family val="0"/>
          </rPr>
          <t>Paul R. Hughes:</t>
        </r>
        <r>
          <rPr>
            <sz val="8"/>
            <rFont val="Tahoma"/>
            <family val="0"/>
          </rPr>
          <t xml:space="preserve">
PC/LDT1 + LDT2</t>
        </r>
      </text>
    </comment>
  </commentList>
</comments>
</file>

<file path=xl/comments8.xml><?xml version="1.0" encoding="utf-8"?>
<comments xmlns="http://schemas.openxmlformats.org/spreadsheetml/2006/main">
  <authors>
    <author>Paul R. Hughes</author>
  </authors>
  <commentList>
    <comment ref="N29" authorId="0">
      <text>
        <r>
          <rPr>
            <b/>
            <sz val="8"/>
            <rFont val="Tahoma"/>
            <family val="0"/>
          </rPr>
          <t>Paul R. Hughes: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ZEV percentage adjusted by credits</t>
        </r>
      </text>
    </comment>
  </commentList>
</comments>
</file>

<file path=xl/comments9.xml><?xml version="1.0" encoding="utf-8"?>
<comments xmlns="http://schemas.openxmlformats.org/spreadsheetml/2006/main">
  <authors>
    <author>Paul R. Hughes</author>
  </authors>
  <commentList>
    <comment ref="K29" authorId="0">
      <text>
        <r>
          <rPr>
            <b/>
            <sz val="8"/>
            <rFont val="Tahoma"/>
            <family val="0"/>
          </rPr>
          <t>Paul R. Hughes: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ZEV percentage adjusted by credits</t>
        </r>
      </text>
    </comment>
  </commentList>
</comments>
</file>

<file path=xl/sharedStrings.xml><?xml version="1.0" encoding="utf-8"?>
<sst xmlns="http://schemas.openxmlformats.org/spreadsheetml/2006/main" count="2414" uniqueCount="204">
  <si>
    <t>UDDS Range</t>
  </si>
  <si>
    <t>Highway range</t>
  </si>
  <si>
    <t>EPIC</t>
  </si>
  <si>
    <t>Ranger</t>
  </si>
  <si>
    <t>EV1</t>
  </si>
  <si>
    <t>EV Plus</t>
  </si>
  <si>
    <t>Altra</t>
  </si>
  <si>
    <t>RAV4 EV</t>
  </si>
  <si>
    <t>PbA</t>
  </si>
  <si>
    <t>NiMH</t>
  </si>
  <si>
    <t>Li+</t>
  </si>
  <si>
    <t>Vehicle</t>
  </si>
  <si>
    <t>Credit</t>
  </si>
  <si>
    <t>Th!nk City*</t>
  </si>
  <si>
    <t>Hypermini*</t>
  </si>
  <si>
    <t>ecom*</t>
  </si>
  <si>
    <t>City Pal*</t>
  </si>
  <si>
    <t>Manufacturer</t>
  </si>
  <si>
    <t>DaimlerChrysler</t>
  </si>
  <si>
    <t>Ford</t>
  </si>
  <si>
    <t>GM</t>
  </si>
  <si>
    <t>Honda</t>
  </si>
  <si>
    <t>Nissan</t>
  </si>
  <si>
    <t>Toyota</t>
  </si>
  <si>
    <t>1999 EPIC NiMH</t>
  </si>
  <si>
    <t>1999 EV1 PbA</t>
  </si>
  <si>
    <t>97-99 EV Plus NiMH</t>
  </si>
  <si>
    <t>CEV</t>
  </si>
  <si>
    <t>Range</t>
  </si>
  <si>
    <t xml:space="preserve">Total </t>
  </si>
  <si>
    <t>placed</t>
  </si>
  <si>
    <t>Model year 2001</t>
  </si>
  <si>
    <t>Model year 2002</t>
  </si>
  <si>
    <t>Model year 2003</t>
  </si>
  <si>
    <t>98,00 Ranger PbA</t>
  </si>
  <si>
    <t>Total</t>
  </si>
  <si>
    <t>Credits</t>
  </si>
  <si>
    <t>Subtotal</t>
  </si>
  <si>
    <t>Sales:</t>
  </si>
  <si>
    <t>Needed</t>
  </si>
  <si>
    <t xml:space="preserve"> </t>
  </si>
  <si>
    <t>FFEV</t>
  </si>
  <si>
    <t>NEV</t>
  </si>
  <si>
    <t>Model Year</t>
  </si>
  <si>
    <t>Battery Type</t>
  </si>
  <si>
    <t>City EV</t>
  </si>
  <si>
    <t>All</t>
  </si>
  <si>
    <t>ZEV</t>
  </si>
  <si>
    <t>Efficiency</t>
  </si>
  <si>
    <t>Efficiency Credit</t>
  </si>
  <si>
    <t xml:space="preserve">Range credit: </t>
  </si>
  <si>
    <t>Equation:</t>
  </si>
  <si>
    <t>* City EVs' ranges are either claimed maximum range or estimated city range</t>
  </si>
  <si>
    <t>Phase In/Out Credits</t>
  </si>
  <si>
    <t>Phase</t>
  </si>
  <si>
    <t>Number</t>
  </si>
  <si>
    <t>Per Vehicle</t>
  </si>
  <si>
    <t>Think City</t>
  </si>
  <si>
    <t>City Pal</t>
  </si>
  <si>
    <t>Hypermini</t>
  </si>
  <si>
    <t>eCom</t>
  </si>
  <si>
    <t>3 year</t>
  </si>
  <si>
    <t>Total 2003</t>
  </si>
  <si>
    <t>Prior Credits</t>
  </si>
  <si>
    <t>Total ZEV Volumes, By Year</t>
  </si>
  <si>
    <t>Model year 2004</t>
  </si>
  <si>
    <t>Model year 2005</t>
  </si>
  <si>
    <t>Model year 2006</t>
  </si>
  <si>
    <t>Model year 2007</t>
  </si>
  <si>
    <t>Battery type</t>
  </si>
  <si>
    <t>Current</t>
  </si>
  <si>
    <t>Revised</t>
  </si>
  <si>
    <t>2001 Credit</t>
  </si>
  <si>
    <t>2002 Credit</t>
  </si>
  <si>
    <t>2003 Credit</t>
  </si>
  <si>
    <t>2004 Credit</t>
  </si>
  <si>
    <t>2005 Credit</t>
  </si>
  <si>
    <t>2006 Credit</t>
  </si>
  <si>
    <t>2007 Credit</t>
  </si>
  <si>
    <t>2008 Credit</t>
  </si>
  <si>
    <t>Model year 2008</t>
  </si>
  <si>
    <t>Th!nk City</t>
  </si>
  <si>
    <t>FFEV/City</t>
  </si>
  <si>
    <t>From 1 to 10 credits for UDDS range of 50 to 275 miles (reduce lower limit to 50)</t>
  </si>
  <si>
    <t>y=x/25-1</t>
  </si>
  <si>
    <t>City/NEV</t>
  </si>
  <si>
    <t>NiCad</t>
  </si>
  <si>
    <t>Credits Earned Per Vehicle</t>
  </si>
  <si>
    <t>City</t>
  </si>
  <si>
    <t>Vehicle Type</t>
  </si>
  <si>
    <t>Ratio</t>
  </si>
  <si>
    <t>PZEV</t>
  </si>
  <si>
    <t>Intermediates</t>
  </si>
  <si>
    <t>Sales</t>
  </si>
  <si>
    <t>Credits Needed</t>
  </si>
  <si>
    <t>2003 Vehicles</t>
  </si>
  <si>
    <t>2004 Vehicles</t>
  </si>
  <si>
    <t>2005 Vehicles</t>
  </si>
  <si>
    <t>2006 Vehicles</t>
  </si>
  <si>
    <t>NEV Discount</t>
  </si>
  <si>
    <t>AT PZEV</t>
  </si>
  <si>
    <t>NEV (total)</t>
  </si>
  <si>
    <t>2003 Ratio, Revised/Current</t>
  </si>
  <si>
    <t>Credit Ratios--2003</t>
  </si>
  <si>
    <t>Credit Ratios--2006</t>
  </si>
  <si>
    <t>FFEV/NEV</t>
  </si>
  <si>
    <t>FCEV</t>
  </si>
  <si>
    <t>NA</t>
  </si>
  <si>
    <t>CMPEG</t>
  </si>
  <si>
    <t>Efficiency Baseline</t>
  </si>
  <si>
    <t>Range and Efficiency Credits</t>
  </si>
  <si>
    <t>Range/Efficiency Phase</t>
  </si>
  <si>
    <t>Phased Scores--Product</t>
  </si>
  <si>
    <t>DMC Epic</t>
  </si>
  <si>
    <t>DMC City</t>
  </si>
  <si>
    <t>Ford Ranger</t>
  </si>
  <si>
    <t>Ford Think City</t>
  </si>
  <si>
    <t>GM EV1</t>
  </si>
  <si>
    <t>GM City</t>
  </si>
  <si>
    <t>Honda EV Plus</t>
  </si>
  <si>
    <t>Honda City Pal</t>
  </si>
  <si>
    <t>Nissan Altra</t>
  </si>
  <si>
    <t>Nissan Hypermini</t>
  </si>
  <si>
    <t>Toyota RAV4</t>
  </si>
  <si>
    <t>Toyota eCom</t>
  </si>
  <si>
    <t xml:space="preserve">Product </t>
  </si>
  <si>
    <t>FCEV (all)</t>
  </si>
  <si>
    <t>Staff Proposal</t>
  </si>
  <si>
    <t>1998 Regulation</t>
  </si>
  <si>
    <t>2x Staff Proposal by 2012</t>
  </si>
  <si>
    <t>Multiplier:</t>
  </si>
  <si>
    <t>Revised Staff Proposal</t>
  </si>
  <si>
    <t>Base</t>
  </si>
  <si>
    <t>Category</t>
  </si>
  <si>
    <t>PC + LDT1</t>
  </si>
  <si>
    <t>LDT2</t>
  </si>
  <si>
    <t>LDT2 (Phased)</t>
  </si>
  <si>
    <t>LDT2 Phase</t>
  </si>
  <si>
    <t>DC</t>
  </si>
  <si>
    <t>Model year 2009</t>
  </si>
  <si>
    <t>(1997-1999 Average)</t>
  </si>
  <si>
    <t>(2000-2002 Average)</t>
  </si>
  <si>
    <t>(2003-2005 Average)</t>
  </si>
  <si>
    <t>(2006-2008 Average)</t>
  </si>
  <si>
    <t>(2009-2011 Average)</t>
  </si>
  <si>
    <t>(2012-2014 Average)</t>
  </si>
  <si>
    <t>MFR</t>
  </si>
  <si>
    <t>Model year 2010</t>
  </si>
  <si>
    <t>Model year 2011</t>
  </si>
  <si>
    <t>Model year 2012</t>
  </si>
  <si>
    <t>Model year 2013</t>
  </si>
  <si>
    <t>Model year 2014</t>
  </si>
  <si>
    <t>Model year 2015</t>
  </si>
  <si>
    <t>Model year 2016</t>
  </si>
  <si>
    <t>Model year 2017</t>
  </si>
  <si>
    <t>Model year 2018</t>
  </si>
  <si>
    <t>Model year 2019</t>
  </si>
  <si>
    <t>Model year 2020</t>
  </si>
  <si>
    <t>3 Yr Avg</t>
  </si>
  <si>
    <t>2003-2005 Sales Base</t>
  </si>
  <si>
    <t xml:space="preserve">2006   Sales Base </t>
  </si>
  <si>
    <t>City EV average</t>
  </si>
  <si>
    <t>FFEV Average</t>
  </si>
  <si>
    <t>Ratio 2008/2004</t>
  </si>
  <si>
    <t>Range Cap</t>
  </si>
  <si>
    <t>2011 Range Credit</t>
  </si>
  <si>
    <t>2012+ Range Credit</t>
  </si>
  <si>
    <t>Ratio 2012/2004</t>
  </si>
  <si>
    <t xml:space="preserve">2009-2010 Range Credit </t>
  </si>
  <si>
    <t>Eliminate refueling credit after 2008</t>
  </si>
  <si>
    <t>2000-2008 Range Credit</t>
  </si>
  <si>
    <t>Sales Base</t>
  </si>
  <si>
    <t>Percent Obligation</t>
  </si>
  <si>
    <t>Vehicles Needed</t>
  </si>
  <si>
    <t>Large Manufacturers</t>
  </si>
  <si>
    <t>Intermediate Manufacturers</t>
  </si>
  <si>
    <t>Total, All Manufacturers</t>
  </si>
  <si>
    <t>Cap maximum range credit at 225 in 2011 and 175 in 2012 and beyond</t>
  </si>
  <si>
    <t>Average</t>
  </si>
  <si>
    <t>Percentage</t>
  </si>
  <si>
    <t>Adjusted Percent</t>
  </si>
  <si>
    <t>Vehicle Needed</t>
  </si>
  <si>
    <t>Percent Adjusted</t>
  </si>
  <si>
    <t>PC/LDT1</t>
  </si>
  <si>
    <t>Comments</t>
  </si>
  <si>
    <t>1)</t>
  </si>
  <si>
    <t>Sales Sheet does not seem include intermediate LDT2 vehicles</t>
  </si>
  <si>
    <t>Percent of PC/LDT1</t>
  </si>
  <si>
    <t>N/A</t>
  </si>
  <si>
    <t>-</t>
  </si>
  <si>
    <t>Sum PZEV</t>
  </si>
  <si>
    <t>Percent of LDT2</t>
  </si>
  <si>
    <t>Total Vehicles</t>
  </si>
  <si>
    <t>Percent Required</t>
  </si>
  <si>
    <t>Sales Base PC/LDT1</t>
  </si>
  <si>
    <t>Sales Base LDT2</t>
  </si>
  <si>
    <t>Precent Required</t>
  </si>
  <si>
    <t>Vehicles Calculated</t>
  </si>
  <si>
    <t>Percent AT PZEV</t>
  </si>
  <si>
    <t xml:space="preserve">Percent ZEV </t>
  </si>
  <si>
    <t>Percent PZEV</t>
  </si>
  <si>
    <t>Sales base used in EMFAC2000</t>
  </si>
  <si>
    <t>Percentage of PC/PDT1</t>
  </si>
  <si>
    <t>Sales Base from Tom Evashenk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</si>
</sst>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%"/>
    <numFmt numFmtId="174" formatCode="0.000%"/>
    <numFmt numFmtId="175" formatCode="0.000000000000000%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000%"/>
    <numFmt numFmtId="187" formatCode="0.0000000000000000%"/>
    <numFmt numFmtId="188" formatCode="0.00000000000000000%"/>
    <numFmt numFmtId="189" formatCode="0.000000000000000000%"/>
    <numFmt numFmtId="190" formatCode="0.0000000000000000000%"/>
    <numFmt numFmtId="191" formatCode="0.00000000000000000000%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?_);_(@_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2"/>
    </font>
    <font>
      <sz val="12"/>
      <name val="Tahoma"/>
      <family val="2"/>
    </font>
    <font>
      <b/>
      <sz val="16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>
      <alignment/>
    </xf>
    <xf numFmtId="0" fontId="0" fillId="2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5" xfId="0" applyBorder="1" applyAlignment="1">
      <alignment horizontal="left"/>
    </xf>
    <xf numFmtId="1" fontId="0" fillId="0" borderId="5" xfId="0" applyNumberFormat="1" applyBorder="1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1" fontId="0" fillId="2" borderId="4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1" fontId="0" fillId="2" borderId="3" xfId="0" applyNumberFormat="1" applyFill="1" applyBorder="1" applyAlignment="1">
      <alignment/>
    </xf>
    <xf numFmtId="172" fontId="0" fillId="0" borderId="1" xfId="0" applyNumberFormat="1" applyFill="1" applyBorder="1" applyAlignment="1">
      <alignment/>
    </xf>
    <xf numFmtId="1" fontId="0" fillId="0" borderId="7" xfId="0" applyNumberFormat="1" applyFill="1" applyBorder="1" applyAlignment="1">
      <alignment/>
    </xf>
    <xf numFmtId="1" fontId="0" fillId="0" borderId="4" xfId="0" applyNumberFormat="1" applyFill="1" applyBorder="1" applyAlignment="1">
      <alignment/>
    </xf>
    <xf numFmtId="1" fontId="0" fillId="0" borderId="3" xfId="0" applyNumberFormat="1" applyFill="1" applyBorder="1" applyAlignment="1">
      <alignment/>
    </xf>
    <xf numFmtId="1" fontId="0" fillId="0" borderId="5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1" fontId="0" fillId="0" borderId="2" xfId="0" applyNumberFormat="1" applyFill="1" applyBorder="1" applyAlignment="1">
      <alignment/>
    </xf>
    <xf numFmtId="1" fontId="0" fillId="2" borderId="5" xfId="0" applyNumberFormat="1" applyFill="1" applyBorder="1" applyAlignment="1">
      <alignment/>
    </xf>
    <xf numFmtId="0" fontId="0" fillId="0" borderId="2" xfId="0" applyFill="1" applyBorder="1" applyAlignment="1">
      <alignment/>
    </xf>
    <xf numFmtId="1" fontId="0" fillId="2" borderId="2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2" borderId="2" xfId="0" applyNumberFormat="1" applyFill="1" applyBorder="1" applyAlignment="1">
      <alignment/>
    </xf>
    <xf numFmtId="2" fontId="0" fillId="0" borderId="2" xfId="0" applyNumberFormat="1" applyFill="1" applyBorder="1" applyAlignment="1">
      <alignment/>
    </xf>
    <xf numFmtId="0" fontId="0" fillId="0" borderId="1" xfId="0" applyBorder="1" applyAlignment="1">
      <alignment horizontal="center" wrapText="1"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171" fontId="0" fillId="0" borderId="0" xfId="0" applyNumberFormat="1" applyAlignment="1">
      <alignment/>
    </xf>
    <xf numFmtId="171" fontId="0" fillId="0" borderId="0" xfId="0" applyNumberFormat="1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171" fontId="0" fillId="0" borderId="1" xfId="0" applyNumberFormat="1" applyBorder="1" applyAlignment="1">
      <alignment/>
    </xf>
    <xf numFmtId="171" fontId="0" fillId="0" borderId="0" xfId="0" applyNumberFormat="1" applyFill="1" applyBorder="1" applyAlignment="1">
      <alignment horizontal="center"/>
    </xf>
    <xf numFmtId="171" fontId="0" fillId="0" borderId="1" xfId="0" applyNumberFormat="1" applyBorder="1" applyAlignment="1">
      <alignment horizontal="right"/>
    </xf>
    <xf numFmtId="171" fontId="0" fillId="0" borderId="1" xfId="0" applyNumberFormat="1" applyFill="1" applyBorder="1" applyAlignment="1">
      <alignment horizontal="right"/>
    </xf>
    <xf numFmtId="0" fontId="0" fillId="0" borderId="1" xfId="0" applyNumberFormat="1" applyBorder="1" applyAlignment="1">
      <alignment horizontal="right"/>
    </xf>
    <xf numFmtId="171" fontId="0" fillId="0" borderId="1" xfId="0" applyNumberFormat="1" applyBorder="1" applyAlignment="1">
      <alignment/>
    </xf>
    <xf numFmtId="171" fontId="0" fillId="0" borderId="0" xfId="0" applyNumberFormat="1" applyAlignment="1">
      <alignment/>
    </xf>
    <xf numFmtId="172" fontId="0" fillId="2" borderId="1" xfId="0" applyNumberFormat="1" applyFill="1" applyBorder="1" applyAlignment="1">
      <alignment/>
    </xf>
    <xf numFmtId="172" fontId="0" fillId="0" borderId="1" xfId="0" applyNumberFormat="1" applyBorder="1" applyAlignment="1">
      <alignment/>
    </xf>
    <xf numFmtId="2" fontId="0" fillId="2" borderId="2" xfId="0" applyNumberForma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2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1" fontId="0" fillId="3" borderId="2" xfId="0" applyNumberFormat="1" applyFill="1" applyBorder="1" applyAlignment="1">
      <alignment/>
    </xf>
    <xf numFmtId="2" fontId="0" fillId="3" borderId="2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0" fillId="0" borderId="0" xfId="0" applyNumberFormat="1" applyAlignment="1">
      <alignment/>
    </xf>
    <xf numFmtId="1" fontId="0" fillId="2" borderId="5" xfId="0" applyNumberFormat="1" applyFill="1" applyBorder="1" applyAlignment="1">
      <alignment horizontal="left"/>
    </xf>
    <xf numFmtId="1" fontId="0" fillId="0" borderId="5" xfId="0" applyNumberFormat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1" fontId="0" fillId="3" borderId="1" xfId="0" applyNumberFormat="1" applyFill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0" fillId="3" borderId="1" xfId="0" applyFill="1" applyBorder="1" applyAlignment="1">
      <alignment/>
    </xf>
    <xf numFmtId="1" fontId="0" fillId="0" borderId="1" xfId="0" applyNumberFormat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172" fontId="0" fillId="3" borderId="1" xfId="0" applyNumberFormat="1" applyFill="1" applyBorder="1" applyAlignment="1">
      <alignment/>
    </xf>
    <xf numFmtId="0" fontId="0" fillId="0" borderId="0" xfId="0" applyFont="1" applyAlignment="1">
      <alignment/>
    </xf>
    <xf numFmtId="172" fontId="0" fillId="2" borderId="6" xfId="0" applyNumberFormat="1" applyFill="1" applyBorder="1" applyAlignment="1">
      <alignment/>
    </xf>
    <xf numFmtId="172" fontId="0" fillId="0" borderId="6" xfId="0" applyNumberFormat="1" applyFill="1" applyBorder="1" applyAlignment="1">
      <alignment/>
    </xf>
    <xf numFmtId="172" fontId="0" fillId="0" borderId="6" xfId="0" applyNumberFormat="1" applyBorder="1" applyAlignment="1">
      <alignment/>
    </xf>
    <xf numFmtId="2" fontId="0" fillId="0" borderId="2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173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74" fontId="0" fillId="0" borderId="1" xfId="0" applyNumberForma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0" fontId="0" fillId="0" borderId="0" xfId="0" applyAlignment="1">
      <alignment/>
    </xf>
    <xf numFmtId="174" fontId="0" fillId="0" borderId="2" xfId="0" applyNumberFormat="1" applyBorder="1" applyAlignment="1">
      <alignment horizontal="center"/>
    </xf>
    <xf numFmtId="174" fontId="1" fillId="0" borderId="4" xfId="0" applyNumberFormat="1" applyFont="1" applyBorder="1" applyAlignment="1">
      <alignment horizontal="center"/>
    </xf>
    <xf numFmtId="174" fontId="1" fillId="0" borderId="1" xfId="0" applyNumberFormat="1" applyFont="1" applyBorder="1" applyAlignment="1">
      <alignment horizontal="center"/>
    </xf>
    <xf numFmtId="174" fontId="0" fillId="0" borderId="1" xfId="0" applyNumberFormat="1" applyBorder="1" applyAlignment="1">
      <alignment/>
    </xf>
    <xf numFmtId="174" fontId="1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" xfId="0" applyNumberFormat="1" applyFont="1" applyBorder="1" applyAlignment="1">
      <alignment horizontal="center"/>
    </xf>
    <xf numFmtId="9" fontId="0" fillId="0" borderId="1" xfId="21" applyBorder="1" applyAlignment="1">
      <alignment horizontal="center"/>
    </xf>
    <xf numFmtId="174" fontId="1" fillId="0" borderId="1" xfId="21" applyNumberFormat="1" applyFont="1" applyBorder="1" applyAlignment="1">
      <alignment horizontal="center"/>
    </xf>
    <xf numFmtId="1" fontId="0" fillId="0" borderId="1" xfId="21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74" fontId="0" fillId="0" borderId="1" xfId="0" applyNumberFormat="1" applyFont="1" applyBorder="1" applyAlignment="1">
      <alignment horizontal="center"/>
    </xf>
    <xf numFmtId="174" fontId="0" fillId="0" borderId="1" xfId="21" applyNumberFormat="1" applyBorder="1" applyAlignment="1">
      <alignment horizontal="center"/>
    </xf>
    <xf numFmtId="193" fontId="0" fillId="0" borderId="1" xfId="15" applyNumberFormat="1" applyBorder="1" applyAlignment="1">
      <alignment horizontal="center"/>
    </xf>
    <xf numFmtId="193" fontId="0" fillId="0" borderId="1" xfId="15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2" fontId="0" fillId="0" borderId="1" xfId="0" applyNumberFormat="1" applyFill="1" applyBorder="1" applyAlignment="1">
      <alignment horizontal="left"/>
    </xf>
    <xf numFmtId="0" fontId="0" fillId="0" borderId="1" xfId="0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 wrapText="1"/>
    </xf>
    <xf numFmtId="2" fontId="0" fillId="0" borderId="9" xfId="0" applyNumberFormat="1" applyFill="1" applyBorder="1" applyAlignment="1">
      <alignment horizontal="center" wrapText="1"/>
    </xf>
    <xf numFmtId="2" fontId="0" fillId="0" borderId="3" xfId="0" applyNumberFormat="1" applyFill="1" applyBorder="1" applyAlignment="1">
      <alignment horizontal="center" wrapText="1"/>
    </xf>
    <xf numFmtId="2" fontId="0" fillId="0" borderId="8" xfId="0" applyNumberFormat="1" applyFill="1" applyBorder="1" applyAlignment="1">
      <alignment horizontal="center" wrapText="1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2" fontId="0" fillId="0" borderId="6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4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0" fontId="1" fillId="0" borderId="1" xfId="0" applyNumberFormat="1" applyFont="1" applyBorder="1" applyAlignment="1">
      <alignment horizontal="center" wrapText="1"/>
    </xf>
    <xf numFmtId="10" fontId="1" fillId="0" borderId="4" xfId="0" applyNumberFormat="1" applyFont="1" applyBorder="1" applyAlignment="1">
      <alignment horizontal="center" wrapText="1"/>
    </xf>
    <xf numFmtId="10" fontId="1" fillId="0" borderId="2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0" fontId="1" fillId="0" borderId="5" xfId="0" applyNumberFormat="1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worksheet" Target="worksheets/sheet21.xml" /><Relationship Id="rId24" Type="http://schemas.openxmlformats.org/officeDocument/2006/relationships/worksheet" Target="worksheets/sheet22.xml" /><Relationship Id="rId25" Type="http://schemas.openxmlformats.org/officeDocument/2006/relationships/worksheet" Target="worksheets/sheet23.xml" /><Relationship Id="rId26" Type="http://schemas.openxmlformats.org/officeDocument/2006/relationships/worksheet" Target="worksheets/sheet24.xml" /><Relationship Id="rId27" Type="http://schemas.openxmlformats.org/officeDocument/2006/relationships/chartsheet" Target="chartsheets/sheet3.xml" /><Relationship Id="rId28" Type="http://schemas.openxmlformats.org/officeDocument/2006/relationships/worksheet" Target="worksheets/sheet25.xml" /><Relationship Id="rId29" Type="http://schemas.openxmlformats.org/officeDocument/2006/relationships/worksheet" Target="worksheets/sheet26.xml" /><Relationship Id="rId30" Type="http://schemas.openxmlformats.org/officeDocument/2006/relationships/worksheet" Target="worksheets/sheet27.xml" /><Relationship Id="rId31" Type="http://schemas.openxmlformats.org/officeDocument/2006/relationships/worksheet" Target="worksheets/sheet28.xml" /><Relationship Id="rId32" Type="http://schemas.openxmlformats.org/officeDocument/2006/relationships/worksheet" Target="worksheets/sheet29.xml" /><Relationship Id="rId33" Type="http://schemas.openxmlformats.org/officeDocument/2006/relationships/worksheet" Target="worksheets/sheet30.xml" /><Relationship Id="rId34" Type="http://schemas.openxmlformats.org/officeDocument/2006/relationships/worksheet" Target="worksheets/sheet31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SALES BASE FOR ZEV REGULATION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8125"/>
          <c:w val="0.8295"/>
          <c:h val="0.85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Sales!$B$64</c:f>
              <c:strCache>
                <c:ptCount val="1"/>
                <c:pt idx="0">
                  <c:v>PC + LDT1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Sales!$E$36:$Z$36</c:f>
              <c:strCache>
                <c:ptCount val="2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 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 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 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strCache>
            </c:strRef>
          </c:cat>
          <c:val>
            <c:numRef>
              <c:f>Sales!$E$64:$Z$64</c:f>
              <c:numCache>
                <c:ptCount val="22"/>
                <c:pt idx="0">
                  <c:v>917397.6666666666</c:v>
                </c:pt>
                <c:pt idx="1">
                  <c:v>917397.6666666666</c:v>
                </c:pt>
                <c:pt idx="2">
                  <c:v>917397.6666666666</c:v>
                </c:pt>
                <c:pt idx="4">
                  <c:v>1130564</c:v>
                </c:pt>
                <c:pt idx="5">
                  <c:v>1130564</c:v>
                </c:pt>
                <c:pt idx="6">
                  <c:v>1130564</c:v>
                </c:pt>
                <c:pt idx="8">
                  <c:v>1130564</c:v>
                </c:pt>
                <c:pt idx="9">
                  <c:v>1130564</c:v>
                </c:pt>
                <c:pt idx="10">
                  <c:v>1130564</c:v>
                </c:pt>
                <c:pt idx="12">
                  <c:v>1130564</c:v>
                </c:pt>
                <c:pt idx="13">
                  <c:v>1130564</c:v>
                </c:pt>
                <c:pt idx="14">
                  <c:v>1130564</c:v>
                </c:pt>
                <c:pt idx="16">
                  <c:v>1130564</c:v>
                </c:pt>
                <c:pt idx="17">
                  <c:v>1130564</c:v>
                </c:pt>
                <c:pt idx="18">
                  <c:v>1130564</c:v>
                </c:pt>
                <c:pt idx="19">
                  <c:v>1130564</c:v>
                </c:pt>
                <c:pt idx="20">
                  <c:v>1130564</c:v>
                </c:pt>
                <c:pt idx="21">
                  <c:v>1130564</c:v>
                </c:pt>
              </c:numCache>
            </c:numRef>
          </c:val>
        </c:ser>
        <c:ser>
          <c:idx val="1"/>
          <c:order val="1"/>
          <c:tx>
            <c:strRef>
              <c:f>Sales!$B$65</c:f>
              <c:strCache>
                <c:ptCount val="1"/>
                <c:pt idx="0">
                  <c:v>LDT2 (Phased)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Sales!$E$36:$Z$36</c:f>
              <c:strCache>
                <c:ptCount val="2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 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 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 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strCache>
            </c:strRef>
          </c:cat>
          <c:val>
            <c:numRef>
              <c:f>Sales!$E$65:$Z$65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127961.72000000002</c:v>
                </c:pt>
                <c:pt idx="6">
                  <c:v>255923.44000000003</c:v>
                </c:pt>
                <c:pt idx="8">
                  <c:v>383885.16000000003</c:v>
                </c:pt>
                <c:pt idx="9">
                  <c:v>511846.88000000006</c:v>
                </c:pt>
                <c:pt idx="10">
                  <c:v>639808.6</c:v>
                </c:pt>
                <c:pt idx="12">
                  <c:v>752716</c:v>
                </c:pt>
                <c:pt idx="13">
                  <c:v>752716</c:v>
                </c:pt>
                <c:pt idx="14">
                  <c:v>752716</c:v>
                </c:pt>
                <c:pt idx="16">
                  <c:v>752716</c:v>
                </c:pt>
                <c:pt idx="17">
                  <c:v>752716</c:v>
                </c:pt>
                <c:pt idx="18">
                  <c:v>752716</c:v>
                </c:pt>
                <c:pt idx="19">
                  <c:v>752716</c:v>
                </c:pt>
                <c:pt idx="20">
                  <c:v>752716</c:v>
                </c:pt>
                <c:pt idx="21">
                  <c:v>752716</c:v>
                </c:pt>
              </c:numCache>
            </c:numRef>
          </c:val>
        </c:ser>
        <c:overlap val="100"/>
        <c:axId val="60263110"/>
        <c:axId val="5497079"/>
      </c:barChart>
      <c:catAx>
        <c:axId val="60263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Model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7079"/>
        <c:crosses val="autoZero"/>
        <c:auto val="1"/>
        <c:lblOffset val="100"/>
        <c:noMultiLvlLbl val="0"/>
      </c:catAx>
      <c:valAx>
        <c:axId val="5497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Vehicles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2631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"/>
          <c:y val="0.46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Sales Totals for ZEV Regulation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0375"/>
          <c:w val="0.85125"/>
          <c:h val="0.83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Sales!$B$29</c:f>
              <c:strCache>
                <c:ptCount val="1"/>
                <c:pt idx="0">
                  <c:v>PC + LDT1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Sales!$C$3:$Z$3</c:f>
              <c:strCach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3 Yr Avg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3 Yr Avg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3 Yr Avg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3 Yr Avg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3 Yr Avg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3 Yr Avg</c:v>
                </c:pt>
              </c:strCache>
            </c:strRef>
          </c:cat>
          <c:val>
            <c:numRef>
              <c:f>Sales!$C$29:$Z$29</c:f>
              <c:numCache>
                <c:ptCount val="24"/>
                <c:pt idx="0">
                  <c:v>938551</c:v>
                </c:pt>
                <c:pt idx="1">
                  <c:v>903939</c:v>
                </c:pt>
                <c:pt idx="2">
                  <c:v>909703</c:v>
                </c:pt>
                <c:pt idx="3">
                  <c:v>917397.6666666666</c:v>
                </c:pt>
                <c:pt idx="4">
                  <c:v>1130564</c:v>
                </c:pt>
                <c:pt idx="5">
                  <c:v>1130564</c:v>
                </c:pt>
                <c:pt idx="6">
                  <c:v>1130564</c:v>
                </c:pt>
                <c:pt idx="7">
                  <c:v>1130564</c:v>
                </c:pt>
                <c:pt idx="8">
                  <c:v>1130564</c:v>
                </c:pt>
                <c:pt idx="9">
                  <c:v>1130564</c:v>
                </c:pt>
                <c:pt idx="10">
                  <c:v>1130564</c:v>
                </c:pt>
                <c:pt idx="11">
                  <c:v>1130564</c:v>
                </c:pt>
                <c:pt idx="12">
                  <c:v>1130564</c:v>
                </c:pt>
                <c:pt idx="13">
                  <c:v>1130564</c:v>
                </c:pt>
                <c:pt idx="14">
                  <c:v>1130564</c:v>
                </c:pt>
                <c:pt idx="15">
                  <c:v>1130564</c:v>
                </c:pt>
                <c:pt idx="16">
                  <c:v>1130564</c:v>
                </c:pt>
                <c:pt idx="17">
                  <c:v>1130564</c:v>
                </c:pt>
                <c:pt idx="18">
                  <c:v>1130564</c:v>
                </c:pt>
                <c:pt idx="19">
                  <c:v>1130564</c:v>
                </c:pt>
                <c:pt idx="20">
                  <c:v>1130564</c:v>
                </c:pt>
                <c:pt idx="21">
                  <c:v>1130564</c:v>
                </c:pt>
                <c:pt idx="22">
                  <c:v>1130564</c:v>
                </c:pt>
                <c:pt idx="23">
                  <c:v>1130564</c:v>
                </c:pt>
              </c:numCache>
            </c:numRef>
          </c:val>
        </c:ser>
        <c:ser>
          <c:idx val="1"/>
          <c:order val="1"/>
          <c:tx>
            <c:strRef>
              <c:f>Sales!$B$30</c:f>
              <c:strCache>
                <c:ptCount val="1"/>
                <c:pt idx="0">
                  <c:v>LDT2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Sales!$C$3:$Z$3</c:f>
              <c:strCach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3 Yr Avg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3 Yr Avg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3 Yr Avg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3 Yr Avg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3 Yr Avg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3 Yr Avg</c:v>
                </c:pt>
              </c:strCache>
            </c:strRef>
          </c:cat>
          <c:val>
            <c:numRef>
              <c:f>Sales!$C$30:$Z$30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752716</c:v>
                </c:pt>
                <c:pt idx="5">
                  <c:v>752716</c:v>
                </c:pt>
                <c:pt idx="6">
                  <c:v>752716</c:v>
                </c:pt>
                <c:pt idx="7">
                  <c:v>752716</c:v>
                </c:pt>
                <c:pt idx="8">
                  <c:v>752716</c:v>
                </c:pt>
                <c:pt idx="9">
                  <c:v>752716</c:v>
                </c:pt>
                <c:pt idx="10">
                  <c:v>752716</c:v>
                </c:pt>
                <c:pt idx="11">
                  <c:v>752716</c:v>
                </c:pt>
                <c:pt idx="12">
                  <c:v>752716</c:v>
                </c:pt>
                <c:pt idx="13">
                  <c:v>752716</c:v>
                </c:pt>
                <c:pt idx="14">
                  <c:v>752716</c:v>
                </c:pt>
                <c:pt idx="15">
                  <c:v>752716</c:v>
                </c:pt>
                <c:pt idx="16">
                  <c:v>752716</c:v>
                </c:pt>
                <c:pt idx="17">
                  <c:v>752716</c:v>
                </c:pt>
                <c:pt idx="18">
                  <c:v>752716</c:v>
                </c:pt>
                <c:pt idx="19">
                  <c:v>752716</c:v>
                </c:pt>
                <c:pt idx="20">
                  <c:v>752716</c:v>
                </c:pt>
                <c:pt idx="21">
                  <c:v>752716</c:v>
                </c:pt>
                <c:pt idx="22">
                  <c:v>752716</c:v>
                </c:pt>
                <c:pt idx="23">
                  <c:v>752716</c:v>
                </c:pt>
              </c:numCache>
            </c:numRef>
          </c:val>
        </c:ser>
        <c:overlap val="100"/>
        <c:axId val="49473712"/>
        <c:axId val="42610225"/>
      </c:barChart>
      <c:catAx>
        <c:axId val="49473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Model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610225"/>
        <c:crosses val="autoZero"/>
        <c:auto val="1"/>
        <c:lblOffset val="100"/>
        <c:noMultiLvlLbl val="0"/>
      </c:catAx>
      <c:valAx>
        <c:axId val="42610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Vehicles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737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15"/>
          <c:y val="0.44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
FFEV and Fuel Cell EV Totals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78"/>
          <c:w val="0.96075"/>
          <c:h val="0.90675"/>
        </c:manualLayout>
      </c:layout>
      <c:lineChart>
        <c:grouping val="standard"/>
        <c:varyColors val="0"/>
        <c:ser>
          <c:idx val="3"/>
          <c:order val="0"/>
          <c:tx>
            <c:strRef>
              <c:f>Summary!$A$32</c:f>
              <c:strCache>
                <c:ptCount val="1"/>
                <c:pt idx="0">
                  <c:v>1998 Regulation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Summary!$E$3:$V$3</c:f>
              <c:numCach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Summary!$E$32:$V$32</c:f>
              <c:numCache>
                <c:ptCount val="18"/>
                <c:pt idx="0">
                  <c:v>22000</c:v>
                </c:pt>
                <c:pt idx="1">
                  <c:v>22000</c:v>
                </c:pt>
                <c:pt idx="2">
                  <c:v>22000</c:v>
                </c:pt>
                <c:pt idx="3">
                  <c:v>31000</c:v>
                </c:pt>
                <c:pt idx="4">
                  <c:v>31000</c:v>
                </c:pt>
                <c:pt idx="5">
                  <c:v>38600</c:v>
                </c:pt>
                <c:pt idx="6">
                  <c:v>38600</c:v>
                </c:pt>
                <c:pt idx="7">
                  <c:v>38600</c:v>
                </c:pt>
                <c:pt idx="8">
                  <c:v>38600</c:v>
                </c:pt>
                <c:pt idx="9">
                  <c:v>38600</c:v>
                </c:pt>
                <c:pt idx="10">
                  <c:v>38600</c:v>
                </c:pt>
                <c:pt idx="11">
                  <c:v>38600</c:v>
                </c:pt>
                <c:pt idx="12">
                  <c:v>38600</c:v>
                </c:pt>
                <c:pt idx="13">
                  <c:v>38600</c:v>
                </c:pt>
                <c:pt idx="14">
                  <c:v>38600</c:v>
                </c:pt>
                <c:pt idx="15">
                  <c:v>38600</c:v>
                </c:pt>
                <c:pt idx="16">
                  <c:v>38600</c:v>
                </c:pt>
                <c:pt idx="17">
                  <c:v>38600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Summary!$A$30</c:f>
              <c:strCache>
                <c:ptCount val="1"/>
                <c:pt idx="0">
                  <c:v>2x Staff Proposal by 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Summary!$E$3:$V$3</c:f>
              <c:numCach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Summary!$E$30:$V$30</c:f>
              <c:numCache>
                <c:ptCount val="18"/>
                <c:pt idx="0">
                  <c:v>4650</c:v>
                </c:pt>
                <c:pt idx="1">
                  <c:v>4650</c:v>
                </c:pt>
                <c:pt idx="2">
                  <c:v>4650</c:v>
                </c:pt>
                <c:pt idx="3">
                  <c:v>5800</c:v>
                </c:pt>
                <c:pt idx="4">
                  <c:v>6786</c:v>
                </c:pt>
                <c:pt idx="5">
                  <c:v>7772.000000000001</c:v>
                </c:pt>
                <c:pt idx="6">
                  <c:v>10947.5</c:v>
                </c:pt>
                <c:pt idx="7">
                  <c:v>12180</c:v>
                </c:pt>
                <c:pt idx="8">
                  <c:v>13412.5</c:v>
                </c:pt>
                <c:pt idx="9">
                  <c:v>17400</c:v>
                </c:pt>
                <c:pt idx="10">
                  <c:v>17400</c:v>
                </c:pt>
                <c:pt idx="11">
                  <c:v>17400</c:v>
                </c:pt>
                <c:pt idx="12">
                  <c:v>23200</c:v>
                </c:pt>
                <c:pt idx="13">
                  <c:v>23200</c:v>
                </c:pt>
                <c:pt idx="14">
                  <c:v>23200</c:v>
                </c:pt>
                <c:pt idx="15">
                  <c:v>29000</c:v>
                </c:pt>
                <c:pt idx="16">
                  <c:v>29000</c:v>
                </c:pt>
                <c:pt idx="17">
                  <c:v>29000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Summary!$A$29</c:f>
              <c:strCache>
                <c:ptCount val="1"/>
                <c:pt idx="0">
                  <c:v>Revised Staff Proposal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Summary!$E$3:$V$3</c:f>
              <c:numCach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Summary!$E$29:$V$29</c:f>
              <c:numCache>
                <c:ptCount val="18"/>
                <c:pt idx="0">
                  <c:v>4420.237470824074</c:v>
                </c:pt>
                <c:pt idx="1">
                  <c:v>4420.237470824074</c:v>
                </c:pt>
                <c:pt idx="2">
                  <c:v>4418.0083850226365</c:v>
                </c:pt>
                <c:pt idx="3">
                  <c:v>6570.033682114932</c:v>
                </c:pt>
                <c:pt idx="4">
                  <c:v>7360.103697183642</c:v>
                </c:pt>
                <c:pt idx="5">
                  <c:v>8066.789080779857</c:v>
                </c:pt>
                <c:pt idx="6">
                  <c:v>11507.76215283782</c:v>
                </c:pt>
                <c:pt idx="7">
                  <c:v>12759.372373909384</c:v>
                </c:pt>
                <c:pt idx="8">
                  <c:v>13796.035705327518</c:v>
                </c:pt>
                <c:pt idx="9">
                  <c:v>19066.356161614203</c:v>
                </c:pt>
                <c:pt idx="10">
                  <c:v>19066.356161614203</c:v>
                </c:pt>
                <c:pt idx="11">
                  <c:v>19066.356161614203</c:v>
                </c:pt>
                <c:pt idx="12">
                  <c:v>25421.808215485602</c:v>
                </c:pt>
                <c:pt idx="13">
                  <c:v>25421.808215485602</c:v>
                </c:pt>
                <c:pt idx="14">
                  <c:v>25421.808215485602</c:v>
                </c:pt>
                <c:pt idx="15">
                  <c:v>31777.260269357</c:v>
                </c:pt>
                <c:pt idx="16">
                  <c:v>31777.260269357</c:v>
                </c:pt>
                <c:pt idx="17">
                  <c:v>31777.260269357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Summary!$A$31</c:f>
              <c:strCache>
                <c:ptCount val="1"/>
                <c:pt idx="0">
                  <c:v>Staff Proposal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Summary!$E$3:$V$3</c:f>
              <c:numCach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Summary!$E$31:$V$31</c:f>
              <c:numCache>
                <c:ptCount val="18"/>
                <c:pt idx="0">
                  <c:v>4650</c:v>
                </c:pt>
                <c:pt idx="1">
                  <c:v>4650</c:v>
                </c:pt>
                <c:pt idx="2">
                  <c:v>4650</c:v>
                </c:pt>
                <c:pt idx="3">
                  <c:v>5800</c:v>
                </c:pt>
                <c:pt idx="4">
                  <c:v>5800</c:v>
                </c:pt>
                <c:pt idx="5">
                  <c:v>5800</c:v>
                </c:pt>
                <c:pt idx="6">
                  <c:v>7250</c:v>
                </c:pt>
                <c:pt idx="7">
                  <c:v>7250</c:v>
                </c:pt>
                <c:pt idx="8">
                  <c:v>7250</c:v>
                </c:pt>
                <c:pt idx="9">
                  <c:v>8700</c:v>
                </c:pt>
                <c:pt idx="10">
                  <c:v>8700</c:v>
                </c:pt>
                <c:pt idx="11">
                  <c:v>8700</c:v>
                </c:pt>
                <c:pt idx="12">
                  <c:v>11600</c:v>
                </c:pt>
                <c:pt idx="13">
                  <c:v>11600</c:v>
                </c:pt>
                <c:pt idx="14">
                  <c:v>11600</c:v>
                </c:pt>
                <c:pt idx="15">
                  <c:v>14500</c:v>
                </c:pt>
                <c:pt idx="16">
                  <c:v>14500</c:v>
                </c:pt>
                <c:pt idx="17">
                  <c:v>14500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Summary!$A$33</c:f>
              <c:strCache>
                <c:ptCount val="1"/>
                <c:pt idx="0">
                  <c:v>FCEV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Summary!$E$3:$V$3</c:f>
              <c:numCach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Summary!$E$33:$V$33</c:f>
              <c:numCache>
                <c:ptCount val="18"/>
                <c:pt idx="0">
                  <c:v>1467.8362666666667</c:v>
                </c:pt>
                <c:pt idx="1">
                  <c:v>1467.8362666666667</c:v>
                </c:pt>
                <c:pt idx="2">
                  <c:v>1623.9510962838012</c:v>
                </c:pt>
                <c:pt idx="3">
                  <c:v>2815.2878750614855</c:v>
                </c:pt>
                <c:pt idx="4">
                  <c:v>3558.616857253817</c:v>
                </c:pt>
                <c:pt idx="5">
                  <c:v>4628.720266251766</c:v>
                </c:pt>
                <c:pt idx="6">
                  <c:v>7036.676530717605</c:v>
                </c:pt>
                <c:pt idx="7">
                  <c:v>8484.392938775512</c:v>
                </c:pt>
                <c:pt idx="8">
                  <c:v>10669.656294642857</c:v>
                </c:pt>
                <c:pt idx="9">
                  <c:v>18679.062857142857</c:v>
                </c:pt>
                <c:pt idx="10">
                  <c:v>18679.062857142857</c:v>
                </c:pt>
                <c:pt idx="11">
                  <c:v>18679.062857142857</c:v>
                </c:pt>
                <c:pt idx="12">
                  <c:v>24905.417142857146</c:v>
                </c:pt>
                <c:pt idx="13">
                  <c:v>24905.417142857146</c:v>
                </c:pt>
                <c:pt idx="14">
                  <c:v>24905.417142857146</c:v>
                </c:pt>
                <c:pt idx="15">
                  <c:v>31131.771428571432</c:v>
                </c:pt>
                <c:pt idx="16">
                  <c:v>31131.771428571432</c:v>
                </c:pt>
                <c:pt idx="17">
                  <c:v>31131.771428571432</c:v>
                </c:pt>
              </c:numCache>
            </c:numRef>
          </c:val>
          <c:smooth val="0"/>
        </c:ser>
        <c:axId val="47947706"/>
        <c:axId val="28876171"/>
      </c:lineChart>
      <c:catAx>
        <c:axId val="47947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76171"/>
        <c:crosses val="autoZero"/>
        <c:auto val="1"/>
        <c:lblOffset val="100"/>
        <c:noMultiLvlLbl val="0"/>
      </c:catAx>
      <c:valAx>
        <c:axId val="288761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477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15"/>
          <c:y val="0.1095"/>
          <c:w val="0.24425"/>
          <c:h val="0.17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7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7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1" name="TextBox 1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2" name="TextBox 2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1" name="TextBox 1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1" name="TextBox 1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2" name="TextBox 2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1" name="TextBox 1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2" name="TextBox 2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1" name="TextBox 1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2" name="TextBox 2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1" name="TextBox 1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2" name="TextBox 2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1" name="TextBox 1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2" name="TextBox 2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1" name="TextBox 1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2" name="TextBox 2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1" name="TextBox 1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2" name="TextBox 2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1" name="TextBox 1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2" name="TextBox 2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1" name="TextBox 1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2" name="TextBox 2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1" name="TextBox 1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2" name="TextBox 2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647700</xdr:colOff>
      <xdr:row>45</xdr:row>
      <xdr:rowOff>123825</xdr:rowOff>
    </xdr:from>
    <xdr:to>
      <xdr:col>8</xdr:col>
      <xdr:colOff>638175</xdr:colOff>
      <xdr:row>49</xdr:row>
      <xdr:rowOff>257175</xdr:rowOff>
    </xdr:to>
    <xdr:sp>
      <xdr:nvSpPr>
        <xdr:cNvPr id="1" name="Line 1"/>
        <xdr:cNvSpPr>
          <a:spLocks/>
        </xdr:cNvSpPr>
      </xdr:nvSpPr>
      <xdr:spPr>
        <a:xfrm rot="21258145" flipH="1">
          <a:off x="6572250" y="7743825"/>
          <a:ext cx="12477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609600</xdr:colOff>
      <xdr:row>45</xdr:row>
      <xdr:rowOff>66675</xdr:rowOff>
    </xdr:from>
    <xdr:to>
      <xdr:col>8</xdr:col>
      <xdr:colOff>609600</xdr:colOff>
      <xdr:row>50</xdr:row>
      <xdr:rowOff>0</xdr:rowOff>
    </xdr:to>
    <xdr:sp>
      <xdr:nvSpPr>
        <xdr:cNvPr id="2" name="Line 2"/>
        <xdr:cNvSpPr>
          <a:spLocks/>
        </xdr:cNvSpPr>
      </xdr:nvSpPr>
      <xdr:spPr>
        <a:xfrm>
          <a:off x="7791450" y="76866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609600</xdr:colOff>
      <xdr:row>45</xdr:row>
      <xdr:rowOff>66675</xdr:rowOff>
    </xdr:from>
    <xdr:to>
      <xdr:col>9</xdr:col>
      <xdr:colOff>561975</xdr:colOff>
      <xdr:row>50</xdr:row>
      <xdr:rowOff>0</xdr:rowOff>
    </xdr:to>
    <xdr:sp>
      <xdr:nvSpPr>
        <xdr:cNvPr id="3" name="Line 3"/>
        <xdr:cNvSpPr>
          <a:spLocks/>
        </xdr:cNvSpPr>
      </xdr:nvSpPr>
      <xdr:spPr>
        <a:xfrm>
          <a:off x="7791450" y="7686675"/>
          <a:ext cx="129540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781050</xdr:colOff>
      <xdr:row>45</xdr:row>
      <xdr:rowOff>114300</xdr:rowOff>
    </xdr:from>
    <xdr:to>
      <xdr:col>8</xdr:col>
      <xdr:colOff>771525</xdr:colOff>
      <xdr:row>49</xdr:row>
      <xdr:rowOff>247650</xdr:rowOff>
    </xdr:to>
    <xdr:sp>
      <xdr:nvSpPr>
        <xdr:cNvPr id="1" name="Line 1"/>
        <xdr:cNvSpPr>
          <a:spLocks/>
        </xdr:cNvSpPr>
      </xdr:nvSpPr>
      <xdr:spPr>
        <a:xfrm rot="21258145" flipH="1">
          <a:off x="6600825" y="7734300"/>
          <a:ext cx="12477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714375</xdr:colOff>
      <xdr:row>45</xdr:row>
      <xdr:rowOff>66675</xdr:rowOff>
    </xdr:from>
    <xdr:to>
      <xdr:col>8</xdr:col>
      <xdr:colOff>714375</xdr:colOff>
      <xdr:row>50</xdr:row>
      <xdr:rowOff>0</xdr:rowOff>
    </xdr:to>
    <xdr:sp>
      <xdr:nvSpPr>
        <xdr:cNvPr id="2" name="Line 3"/>
        <xdr:cNvSpPr>
          <a:spLocks/>
        </xdr:cNvSpPr>
      </xdr:nvSpPr>
      <xdr:spPr>
        <a:xfrm>
          <a:off x="7791450" y="76866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714375</xdr:colOff>
      <xdr:row>45</xdr:row>
      <xdr:rowOff>66675</xdr:rowOff>
    </xdr:from>
    <xdr:to>
      <xdr:col>9</xdr:col>
      <xdr:colOff>666750</xdr:colOff>
      <xdr:row>50</xdr:row>
      <xdr:rowOff>0</xdr:rowOff>
    </xdr:to>
    <xdr:sp>
      <xdr:nvSpPr>
        <xdr:cNvPr id="3" name="Line 4"/>
        <xdr:cNvSpPr>
          <a:spLocks/>
        </xdr:cNvSpPr>
      </xdr:nvSpPr>
      <xdr:spPr>
        <a:xfrm>
          <a:off x="7791450" y="7686675"/>
          <a:ext cx="129540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476250</xdr:colOff>
      <xdr:row>48</xdr:row>
      <xdr:rowOff>95250</xdr:rowOff>
    </xdr:from>
    <xdr:ext cx="104775" cy="219075"/>
    <xdr:sp>
      <xdr:nvSpPr>
        <xdr:cNvPr id="1" name="TextBox 1"/>
        <xdr:cNvSpPr txBox="1">
          <a:spLocks noChangeArrowheads="1"/>
        </xdr:cNvSpPr>
      </xdr:nvSpPr>
      <xdr:spPr>
        <a:xfrm>
          <a:off x="4362450" y="78676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571500</xdr:colOff>
      <xdr:row>27</xdr:row>
      <xdr:rowOff>142875</xdr:rowOff>
    </xdr:from>
    <xdr:ext cx="104775" cy="190500"/>
    <xdr:sp>
      <xdr:nvSpPr>
        <xdr:cNvPr id="1" name="TextBox 2"/>
        <xdr:cNvSpPr txBox="1">
          <a:spLocks noChangeArrowheads="1"/>
        </xdr:cNvSpPr>
      </xdr:nvSpPr>
      <xdr:spPr>
        <a:xfrm>
          <a:off x="9658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1" name="TextBox 1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1" name="TextBox 1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1" name="TextBox 1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1" name="TextBox 1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2" name="TextBox 2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1" name="TextBox 1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571500</xdr:colOff>
      <xdr:row>27</xdr:row>
      <xdr:rowOff>142875</xdr:rowOff>
    </xdr:from>
    <xdr:ext cx="104775" cy="190500"/>
    <xdr:sp>
      <xdr:nvSpPr>
        <xdr:cNvPr id="2" name="TextBox 2"/>
        <xdr:cNvSpPr txBox="1">
          <a:spLocks noChangeArrowheads="1"/>
        </xdr:cNvSpPr>
      </xdr:nvSpPr>
      <xdr:spPr>
        <a:xfrm>
          <a:off x="7753350" y="451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ORK\Zev%202001\vehicle%20total%20calculator,%20Board%20version%20rev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edit Values"/>
      <sheetName val="Sales Base Graph"/>
      <sheetName val="Sales Total Graph"/>
      <sheetName val="Sales"/>
      <sheetName val="Per Vehicle Credits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PZEVs"/>
      <sheetName val="Graph"/>
      <sheetName val="Fleet totals"/>
      <sheetName val="Summary"/>
    </sheetNames>
    <sheetDataSet>
      <sheetData sheetId="27">
        <row r="8">
          <cell r="B8">
            <v>1049671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V118"/>
  <sheetViews>
    <sheetView view="pageBreakPreview" zoomScale="60" zoomScaleNormal="75" workbookViewId="0" topLeftCell="A44">
      <selection activeCell="R38" sqref="R38"/>
    </sheetView>
  </sheetViews>
  <sheetFormatPr defaultColWidth="9.140625" defaultRowHeight="12.75"/>
  <cols>
    <col min="1" max="1" width="15.28125" style="0" customWidth="1"/>
    <col min="2" max="2" width="9.7109375" style="0" customWidth="1"/>
    <col min="3" max="3" width="11.421875" style="0" customWidth="1"/>
    <col min="4" max="4" width="8.57421875" style="0" customWidth="1"/>
    <col min="5" max="6" width="8.7109375" style="0" customWidth="1"/>
    <col min="7" max="7" width="11.421875" style="0" customWidth="1"/>
    <col min="8" max="8" width="11.57421875" style="0" customWidth="1"/>
    <col min="9" max="9" width="8.28125" style="0" customWidth="1"/>
    <col min="10" max="10" width="10.7109375" style="0" customWidth="1"/>
    <col min="11" max="11" width="9.00390625" style="0" customWidth="1"/>
    <col min="12" max="12" width="12.28125" style="0" customWidth="1"/>
    <col min="13" max="13" width="11.7109375" style="0" customWidth="1"/>
    <col min="14" max="20" width="7.7109375" style="0" customWidth="1"/>
  </cols>
  <sheetData>
    <row r="1" ht="12.75">
      <c r="A1" s="48" t="s">
        <v>110</v>
      </c>
    </row>
    <row r="2" ht="12.75">
      <c r="A2" s="48"/>
    </row>
    <row r="3" spans="1:13" s="97" customFormat="1" ht="12.75" customHeight="1">
      <c r="A3" s="143" t="s">
        <v>17</v>
      </c>
      <c r="B3" s="143" t="s">
        <v>43</v>
      </c>
      <c r="C3" s="143" t="s">
        <v>11</v>
      </c>
      <c r="D3" s="143" t="s">
        <v>44</v>
      </c>
      <c r="E3" s="143" t="s">
        <v>0</v>
      </c>
      <c r="F3" s="143" t="s">
        <v>1</v>
      </c>
      <c r="G3" s="146" t="s">
        <v>170</v>
      </c>
      <c r="H3" s="144" t="s">
        <v>168</v>
      </c>
      <c r="I3" s="144" t="s">
        <v>165</v>
      </c>
      <c r="J3" s="147" t="s">
        <v>166</v>
      </c>
      <c r="K3" s="144" t="s">
        <v>108</v>
      </c>
      <c r="L3" s="144" t="s">
        <v>109</v>
      </c>
      <c r="M3" s="144" t="s">
        <v>49</v>
      </c>
    </row>
    <row r="4" spans="1:48" s="3" customFormat="1" ht="29.25" customHeight="1">
      <c r="A4" s="143"/>
      <c r="B4" s="143"/>
      <c r="C4" s="143"/>
      <c r="D4" s="143"/>
      <c r="E4" s="143"/>
      <c r="F4" s="143"/>
      <c r="G4" s="146"/>
      <c r="H4" s="145"/>
      <c r="I4" s="145"/>
      <c r="J4" s="148"/>
      <c r="K4" s="145"/>
      <c r="L4" s="145"/>
      <c r="M4" s="145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</row>
    <row r="5" spans="1:13" ht="12.75">
      <c r="A5" s="7" t="s">
        <v>18</v>
      </c>
      <c r="B5" s="7">
        <v>1999</v>
      </c>
      <c r="C5" s="7" t="s">
        <v>2</v>
      </c>
      <c r="D5" s="7" t="s">
        <v>9</v>
      </c>
      <c r="E5" s="31">
        <v>92</v>
      </c>
      <c r="F5" s="31">
        <v>97</v>
      </c>
      <c r="G5" s="8">
        <f>IF($E5&lt;50,1,IF($E5&gt;275,10,$E5/25-1))</f>
        <v>2.68</v>
      </c>
      <c r="H5" s="8">
        <f>IF($E5&lt;50,1,IF($E5&gt;275,10,$E5/25-1))</f>
        <v>2.68</v>
      </c>
      <c r="I5" s="8">
        <f aca="true" t="shared" si="0" ref="I5:I16">IF($E5&lt;50,1,IF($E5&gt;+$J$50,$J$50/25-1,$E5/25-1))</f>
        <v>2.68</v>
      </c>
      <c r="J5" s="8">
        <f aca="true" t="shared" si="1" ref="J5:J16">IF($E5&lt;50,1,IF($E5&gt;+$K$50,$K$50/25-1,$E5/25-1))</f>
        <v>2.68</v>
      </c>
      <c r="K5" s="98">
        <v>48.3</v>
      </c>
      <c r="L5" s="73">
        <v>21.4</v>
      </c>
      <c r="M5" s="27">
        <f aca="true" t="shared" si="2" ref="M5:M16">IF(K5&lt;1.5*L5,1,K5/(1.5*L5))</f>
        <v>1.504672897196262</v>
      </c>
    </row>
    <row r="6" spans="1:13" ht="12.75">
      <c r="A6" s="7"/>
      <c r="B6" s="7"/>
      <c r="C6" s="7" t="s">
        <v>45</v>
      </c>
      <c r="D6" s="7"/>
      <c r="E6" s="31">
        <v>40</v>
      </c>
      <c r="F6" s="31"/>
      <c r="G6" s="8">
        <f aca="true" t="shared" si="3" ref="G6:G18">IF($E6&lt;50,1,IF($E6&gt;275,10,$E6/25-1))</f>
        <v>1</v>
      </c>
      <c r="H6" s="8">
        <f aca="true" t="shared" si="4" ref="H6:H16">IF(E6&lt;50,1,IF(E6&gt;275,10,E6/25-1))</f>
        <v>1</v>
      </c>
      <c r="I6" s="8">
        <f t="shared" si="0"/>
        <v>1</v>
      </c>
      <c r="J6" s="8">
        <f t="shared" si="1"/>
        <v>1</v>
      </c>
      <c r="K6" s="98">
        <v>93</v>
      </c>
      <c r="L6" s="73">
        <v>45.9</v>
      </c>
      <c r="M6" s="27">
        <f t="shared" si="2"/>
        <v>1.3507625272331156</v>
      </c>
    </row>
    <row r="7" spans="1:13" ht="12.75">
      <c r="A7" s="29" t="s">
        <v>19</v>
      </c>
      <c r="B7" s="29">
        <v>2001</v>
      </c>
      <c r="C7" s="29" t="s">
        <v>3</v>
      </c>
      <c r="D7" s="29" t="s">
        <v>8</v>
      </c>
      <c r="E7" s="40">
        <v>82</v>
      </c>
      <c r="F7" s="40">
        <v>68</v>
      </c>
      <c r="G7" s="60">
        <f t="shared" si="3"/>
        <v>2.28</v>
      </c>
      <c r="H7" s="60">
        <f t="shared" si="4"/>
        <v>2.28</v>
      </c>
      <c r="I7" s="60">
        <f t="shared" si="0"/>
        <v>2.28</v>
      </c>
      <c r="J7" s="60">
        <f t="shared" si="1"/>
        <v>2.28</v>
      </c>
      <c r="K7" s="99">
        <v>82.68</v>
      </c>
      <c r="L7" s="35">
        <v>25</v>
      </c>
      <c r="M7" s="47">
        <f t="shared" si="2"/>
        <v>2.2048</v>
      </c>
    </row>
    <row r="8" spans="1:13" ht="12.75">
      <c r="A8" s="29"/>
      <c r="B8" s="29">
        <v>2001</v>
      </c>
      <c r="C8" s="29" t="s">
        <v>13</v>
      </c>
      <c r="D8" s="29" t="s">
        <v>86</v>
      </c>
      <c r="E8" s="40">
        <v>40.3</v>
      </c>
      <c r="F8" s="40">
        <v>34</v>
      </c>
      <c r="G8" s="60">
        <f t="shared" si="3"/>
        <v>1</v>
      </c>
      <c r="H8" s="60">
        <f t="shared" si="4"/>
        <v>1</v>
      </c>
      <c r="I8" s="60">
        <f t="shared" si="0"/>
        <v>1</v>
      </c>
      <c r="J8" s="60">
        <f t="shared" si="1"/>
        <v>1</v>
      </c>
      <c r="K8" s="99">
        <v>92.95</v>
      </c>
      <c r="L8" s="96">
        <v>45.9</v>
      </c>
      <c r="M8" s="47">
        <f t="shared" si="2"/>
        <v>1.3500363108206248</v>
      </c>
    </row>
    <row r="9" spans="1:13" ht="12.75">
      <c r="A9" s="7" t="s">
        <v>20</v>
      </c>
      <c r="B9" s="7">
        <v>1999</v>
      </c>
      <c r="C9" s="7" t="s">
        <v>4</v>
      </c>
      <c r="D9" s="7" t="s">
        <v>8</v>
      </c>
      <c r="E9" s="31">
        <v>111.1</v>
      </c>
      <c r="F9" s="31">
        <v>113.2</v>
      </c>
      <c r="G9" s="8">
        <f t="shared" si="3"/>
        <v>3.444</v>
      </c>
      <c r="H9" s="8">
        <f t="shared" si="4"/>
        <v>3.444</v>
      </c>
      <c r="I9" s="8">
        <f t="shared" si="0"/>
        <v>3.444</v>
      </c>
      <c r="J9" s="8">
        <f t="shared" si="1"/>
        <v>3.444</v>
      </c>
      <c r="K9" s="98">
        <v>129.32</v>
      </c>
      <c r="L9" s="73">
        <v>30.6</v>
      </c>
      <c r="M9" s="27">
        <f t="shared" si="2"/>
        <v>2.8174291938997817</v>
      </c>
    </row>
    <row r="10" spans="1:13" ht="12.75">
      <c r="A10" s="7"/>
      <c r="B10" s="7"/>
      <c r="C10" s="7" t="s">
        <v>45</v>
      </c>
      <c r="D10" s="7"/>
      <c r="E10" s="31">
        <v>40</v>
      </c>
      <c r="F10" s="31"/>
      <c r="G10" s="8">
        <f t="shared" si="3"/>
        <v>1</v>
      </c>
      <c r="H10" s="8">
        <f t="shared" si="4"/>
        <v>1</v>
      </c>
      <c r="I10" s="8">
        <f t="shared" si="0"/>
        <v>1</v>
      </c>
      <c r="J10" s="8">
        <f t="shared" si="1"/>
        <v>1</v>
      </c>
      <c r="K10" s="98">
        <v>93</v>
      </c>
      <c r="L10" s="73">
        <v>45.9</v>
      </c>
      <c r="M10" s="27">
        <f t="shared" si="2"/>
        <v>1.3507625272331156</v>
      </c>
    </row>
    <row r="11" spans="1:13" ht="12.75">
      <c r="A11" s="29" t="s">
        <v>21</v>
      </c>
      <c r="B11" s="29">
        <v>1999</v>
      </c>
      <c r="C11" s="29" t="s">
        <v>5</v>
      </c>
      <c r="D11" s="29" t="s">
        <v>9</v>
      </c>
      <c r="E11" s="40">
        <v>125.2</v>
      </c>
      <c r="F11" s="40">
        <v>105.3</v>
      </c>
      <c r="G11" s="60">
        <f t="shared" si="3"/>
        <v>4.008</v>
      </c>
      <c r="H11" s="60">
        <f t="shared" si="4"/>
        <v>4.008</v>
      </c>
      <c r="I11" s="60">
        <f t="shared" si="0"/>
        <v>4.008</v>
      </c>
      <c r="J11" s="60">
        <f t="shared" si="1"/>
        <v>4.008</v>
      </c>
      <c r="K11" s="99">
        <v>93.67</v>
      </c>
      <c r="L11" s="35">
        <v>30.6</v>
      </c>
      <c r="M11" s="47">
        <f t="shared" si="2"/>
        <v>2.0407407407407407</v>
      </c>
    </row>
    <row r="12" spans="1:13" ht="12.75">
      <c r="A12" s="29"/>
      <c r="B12" s="29"/>
      <c r="C12" s="29" t="s">
        <v>16</v>
      </c>
      <c r="D12" s="29" t="s">
        <v>9</v>
      </c>
      <c r="E12" s="40">
        <v>80</v>
      </c>
      <c r="F12" s="40"/>
      <c r="G12" s="60">
        <f t="shared" si="3"/>
        <v>2.2</v>
      </c>
      <c r="H12" s="60">
        <f t="shared" si="4"/>
        <v>2.2</v>
      </c>
      <c r="I12" s="60">
        <f t="shared" si="0"/>
        <v>2.2</v>
      </c>
      <c r="J12" s="60">
        <f t="shared" si="1"/>
        <v>2.2</v>
      </c>
      <c r="K12" s="99">
        <v>100</v>
      </c>
      <c r="L12" s="96">
        <v>45.9</v>
      </c>
      <c r="M12" s="47">
        <f t="shared" si="2"/>
        <v>1.4524328249818448</v>
      </c>
    </row>
    <row r="13" spans="1:13" ht="12.75">
      <c r="A13" s="7" t="s">
        <v>22</v>
      </c>
      <c r="B13" s="7">
        <v>2000</v>
      </c>
      <c r="C13" s="7" t="s">
        <v>6</v>
      </c>
      <c r="D13" s="7" t="s">
        <v>10</v>
      </c>
      <c r="E13" s="31">
        <v>129</v>
      </c>
      <c r="F13" s="31">
        <v>118.4</v>
      </c>
      <c r="G13" s="8">
        <f t="shared" si="3"/>
        <v>4.16</v>
      </c>
      <c r="H13" s="8">
        <f t="shared" si="4"/>
        <v>4.16</v>
      </c>
      <c r="I13" s="8">
        <f t="shared" si="0"/>
        <v>4.16</v>
      </c>
      <c r="J13" s="8">
        <f t="shared" si="1"/>
        <v>4.16</v>
      </c>
      <c r="K13" s="98">
        <v>109.82</v>
      </c>
      <c r="L13" s="73">
        <v>25.6</v>
      </c>
      <c r="M13" s="27">
        <f t="shared" si="2"/>
        <v>2.859895833333333</v>
      </c>
    </row>
    <row r="14" spans="1:13" ht="12.75">
      <c r="A14" s="7"/>
      <c r="B14" s="7"/>
      <c r="C14" s="7" t="s">
        <v>14</v>
      </c>
      <c r="D14" s="7" t="s">
        <v>10</v>
      </c>
      <c r="E14" s="31">
        <v>60</v>
      </c>
      <c r="F14" s="31"/>
      <c r="G14" s="8">
        <f t="shared" si="3"/>
        <v>1.4</v>
      </c>
      <c r="H14" s="8">
        <f t="shared" si="4"/>
        <v>1.4</v>
      </c>
      <c r="I14" s="8">
        <f t="shared" si="0"/>
        <v>1.4</v>
      </c>
      <c r="J14" s="8">
        <f t="shared" si="1"/>
        <v>1.4</v>
      </c>
      <c r="K14" s="98">
        <v>134.12</v>
      </c>
      <c r="L14" s="73">
        <v>45.9</v>
      </c>
      <c r="M14" s="27">
        <f t="shared" si="2"/>
        <v>1.9480029048656502</v>
      </c>
    </row>
    <row r="15" spans="1:13" ht="12.75">
      <c r="A15" s="29" t="s">
        <v>23</v>
      </c>
      <c r="B15" s="29">
        <v>2000</v>
      </c>
      <c r="C15" s="29" t="s">
        <v>7</v>
      </c>
      <c r="D15" s="29" t="s">
        <v>9</v>
      </c>
      <c r="E15" s="40">
        <v>142.4</v>
      </c>
      <c r="F15" s="40">
        <v>112.1</v>
      </c>
      <c r="G15" s="60">
        <f t="shared" si="3"/>
        <v>4.696000000000001</v>
      </c>
      <c r="H15" s="60">
        <f t="shared" si="4"/>
        <v>4.696000000000001</v>
      </c>
      <c r="I15" s="60">
        <f t="shared" si="0"/>
        <v>4.696000000000001</v>
      </c>
      <c r="J15" s="60">
        <f t="shared" si="1"/>
        <v>4.696000000000001</v>
      </c>
      <c r="K15" s="99">
        <v>102.58</v>
      </c>
      <c r="L15" s="35">
        <v>25</v>
      </c>
      <c r="M15" s="47">
        <f t="shared" si="2"/>
        <v>2.7354666666666665</v>
      </c>
    </row>
    <row r="16" spans="1:13" ht="12.75">
      <c r="A16" s="29"/>
      <c r="B16" s="29"/>
      <c r="C16" s="29" t="s">
        <v>15</v>
      </c>
      <c r="D16" s="29" t="s">
        <v>9</v>
      </c>
      <c r="E16" s="40">
        <v>60</v>
      </c>
      <c r="F16" s="40"/>
      <c r="G16" s="60">
        <f t="shared" si="3"/>
        <v>1.4</v>
      </c>
      <c r="H16" s="60">
        <f t="shared" si="4"/>
        <v>1.4</v>
      </c>
      <c r="I16" s="60">
        <f t="shared" si="0"/>
        <v>1.4</v>
      </c>
      <c r="J16" s="60">
        <f t="shared" si="1"/>
        <v>1.4</v>
      </c>
      <c r="K16" s="99">
        <v>127.4</v>
      </c>
      <c r="L16" s="96">
        <v>45.9</v>
      </c>
      <c r="M16" s="47">
        <f t="shared" si="2"/>
        <v>1.8503994190268702</v>
      </c>
    </row>
    <row r="17" spans="1:13" ht="12.75">
      <c r="A17" s="1"/>
      <c r="B17" s="1"/>
      <c r="C17" s="1"/>
      <c r="D17" s="1"/>
      <c r="E17" s="1"/>
      <c r="F17" s="1"/>
      <c r="G17" s="60"/>
      <c r="I17" s="60"/>
      <c r="J17" s="60"/>
      <c r="K17" s="100"/>
      <c r="L17" s="74"/>
      <c r="M17" s="47" t="s">
        <v>40</v>
      </c>
    </row>
    <row r="18" spans="1:13" ht="12.75">
      <c r="A18" s="7" t="s">
        <v>46</v>
      </c>
      <c r="B18" s="7"/>
      <c r="C18" s="7" t="s">
        <v>42</v>
      </c>
      <c r="D18" s="7" t="s">
        <v>8</v>
      </c>
      <c r="E18" s="31">
        <v>25</v>
      </c>
      <c r="F18" s="31"/>
      <c r="G18" s="8">
        <f t="shared" si="3"/>
        <v>1</v>
      </c>
      <c r="H18" s="8">
        <f>IF(E18&lt;50,1,IF(E18&gt;275,10,E18/25-1))</f>
        <v>1</v>
      </c>
      <c r="I18" s="8">
        <f>IF($E18&lt;50,1,IF($E18&gt;+$J$50,$J$50/25-1,$E18/25-1))</f>
        <v>1</v>
      </c>
      <c r="J18" s="8">
        <f>IF($E18&lt;50,1,IF($E18&gt;+$K$50,$K$50/25-1,$E18/25-1))</f>
        <v>1</v>
      </c>
      <c r="K18" s="98">
        <v>100</v>
      </c>
      <c r="L18" s="73">
        <v>30.6</v>
      </c>
      <c r="M18" s="27">
        <v>1</v>
      </c>
    </row>
    <row r="19" spans="1:13" ht="12.75">
      <c r="A19" s="7" t="s">
        <v>46</v>
      </c>
      <c r="B19" s="7"/>
      <c r="C19" s="7" t="s">
        <v>106</v>
      </c>
      <c r="D19" s="7" t="s">
        <v>107</v>
      </c>
      <c r="E19" s="31">
        <v>275</v>
      </c>
      <c r="F19" s="31"/>
      <c r="G19" s="8">
        <v>10</v>
      </c>
      <c r="H19" s="8">
        <f>IF(E19&lt;50,1,IF(E19&gt;275,10,E19/25-1))</f>
        <v>10</v>
      </c>
      <c r="I19" s="8">
        <f>IF($E19&lt;50,1,IF($E19&gt;+$J$50,$J$50/25-1,$E19/25-1))</f>
        <v>8</v>
      </c>
      <c r="J19" s="8">
        <f>IF($E19&lt;50,1,IF($E19&gt;+$K$50,$K$50/25-1,$E19/25-1))</f>
        <v>6</v>
      </c>
      <c r="K19" s="98">
        <v>70</v>
      </c>
      <c r="L19" s="73">
        <v>27</v>
      </c>
      <c r="M19" s="27">
        <f>IF(K19&lt;1.5*L19,1,K19/(1.5*L19))</f>
        <v>1.728395061728395</v>
      </c>
    </row>
    <row r="20" ht="13.5" customHeight="1"/>
    <row r="21" ht="12.75">
      <c r="A21" s="2" t="s">
        <v>52</v>
      </c>
    </row>
    <row r="22" spans="1:7" ht="12.75">
      <c r="A22" s="2"/>
      <c r="C22" s="45"/>
      <c r="D22" s="45"/>
      <c r="E22" s="45"/>
      <c r="F22" s="45"/>
      <c r="G22" s="46"/>
    </row>
    <row r="23" spans="1:7" ht="12.75">
      <c r="A23" t="s">
        <v>50</v>
      </c>
      <c r="B23" t="s">
        <v>83</v>
      </c>
      <c r="C23" s="45"/>
      <c r="D23" s="45"/>
      <c r="E23" s="45"/>
      <c r="F23" s="45"/>
      <c r="G23" s="46"/>
    </row>
    <row r="24" spans="1:2" ht="12.75">
      <c r="A24" t="s">
        <v>51</v>
      </c>
      <c r="B24" t="s">
        <v>84</v>
      </c>
    </row>
    <row r="25" spans="2:7" ht="12.75">
      <c r="B25" t="s">
        <v>177</v>
      </c>
      <c r="C25" s="45"/>
      <c r="D25" s="45"/>
      <c r="E25" s="45"/>
      <c r="F25" s="45"/>
      <c r="G25" s="46"/>
    </row>
    <row r="26" spans="2:7" ht="12.75">
      <c r="B26" t="s">
        <v>169</v>
      </c>
      <c r="C26" s="45"/>
      <c r="D26" s="45"/>
      <c r="E26" s="45"/>
      <c r="F26" s="45"/>
      <c r="G26" s="46"/>
    </row>
    <row r="27" spans="3:7" ht="12.75">
      <c r="C27" s="45"/>
      <c r="D27" s="45"/>
      <c r="E27" s="45"/>
      <c r="F27" s="45"/>
      <c r="G27" s="46"/>
    </row>
    <row r="28" spans="1:7" ht="12.75">
      <c r="A28" s="48" t="s">
        <v>53</v>
      </c>
      <c r="C28" s="2"/>
      <c r="D28" s="2"/>
      <c r="E28" s="2"/>
      <c r="F28" s="2"/>
      <c r="G28" s="5"/>
    </row>
    <row r="29" spans="1:11" ht="12.75">
      <c r="A29" s="1"/>
      <c r="B29" s="1">
        <v>2001</v>
      </c>
      <c r="C29" s="1">
        <v>2002</v>
      </c>
      <c r="D29" s="1">
        <v>2003</v>
      </c>
      <c r="E29" s="1">
        <v>2004</v>
      </c>
      <c r="F29" s="1">
        <v>2005</v>
      </c>
      <c r="G29" s="1">
        <v>2006</v>
      </c>
      <c r="H29" s="1">
        <v>2007</v>
      </c>
      <c r="I29" s="1">
        <v>2008</v>
      </c>
      <c r="J29" s="1">
        <v>2009</v>
      </c>
      <c r="K29" s="1">
        <v>2010</v>
      </c>
    </row>
    <row r="30" spans="1:11" ht="12.75">
      <c r="A30" s="1" t="s">
        <v>47</v>
      </c>
      <c r="B30" s="28">
        <v>4</v>
      </c>
      <c r="C30" s="28">
        <v>4</v>
      </c>
      <c r="D30" s="28">
        <v>1.25</v>
      </c>
      <c r="E30" s="28">
        <v>1.25</v>
      </c>
      <c r="F30" s="28">
        <v>1.25</v>
      </c>
      <c r="G30" s="28">
        <v>1</v>
      </c>
      <c r="H30" s="28">
        <v>1</v>
      </c>
      <c r="I30" s="28">
        <v>1</v>
      </c>
      <c r="J30" s="28">
        <v>1</v>
      </c>
      <c r="K30" s="28">
        <v>1</v>
      </c>
    </row>
    <row r="31" spans="1:11" ht="12.75">
      <c r="A31" s="1" t="s">
        <v>101</v>
      </c>
      <c r="B31" s="28">
        <v>4</v>
      </c>
      <c r="C31" s="28">
        <v>4</v>
      </c>
      <c r="D31" s="28">
        <v>1.25</v>
      </c>
      <c r="E31" s="28">
        <v>0.625</v>
      </c>
      <c r="F31" s="28">
        <v>0.625</v>
      </c>
      <c r="G31" s="28">
        <v>0.15</v>
      </c>
      <c r="H31" s="28">
        <v>0.15</v>
      </c>
      <c r="I31" s="28">
        <v>0.15</v>
      </c>
      <c r="J31" s="28">
        <v>0.15</v>
      </c>
      <c r="K31" s="28">
        <v>0.15</v>
      </c>
    </row>
    <row r="32" spans="1:11" ht="12.75">
      <c r="A32" s="1" t="s">
        <v>99</v>
      </c>
      <c r="B32" s="28">
        <v>1</v>
      </c>
      <c r="C32" s="28">
        <v>1</v>
      </c>
      <c r="D32" s="28">
        <v>1</v>
      </c>
      <c r="E32" s="28">
        <v>0.5</v>
      </c>
      <c r="F32" s="28">
        <v>0.5</v>
      </c>
      <c r="G32" s="28">
        <v>0.15</v>
      </c>
      <c r="H32" s="28">
        <v>0.15</v>
      </c>
      <c r="I32" s="28">
        <v>0.15</v>
      </c>
      <c r="J32" s="28">
        <v>0.15</v>
      </c>
      <c r="K32" s="28">
        <v>0.15</v>
      </c>
    </row>
    <row r="33" spans="1:11" ht="12.75">
      <c r="A33" s="1" t="s">
        <v>91</v>
      </c>
      <c r="B33" s="28">
        <v>4</v>
      </c>
      <c r="C33" s="28">
        <v>4</v>
      </c>
      <c r="D33" s="28">
        <v>4</v>
      </c>
      <c r="E33" s="28">
        <v>2</v>
      </c>
      <c r="F33" s="28">
        <v>1.33</v>
      </c>
      <c r="G33" s="28">
        <v>1</v>
      </c>
      <c r="H33" s="28">
        <v>1</v>
      </c>
      <c r="I33" s="28">
        <v>1</v>
      </c>
      <c r="J33" s="28">
        <v>1</v>
      </c>
      <c r="K33" s="28">
        <v>1</v>
      </c>
    </row>
    <row r="35" spans="1:11" ht="12.75">
      <c r="A35" s="1"/>
      <c r="B35" s="1">
        <v>2011</v>
      </c>
      <c r="C35" s="1">
        <v>2012</v>
      </c>
      <c r="D35" s="1">
        <v>2013</v>
      </c>
      <c r="E35" s="1">
        <v>2014</v>
      </c>
      <c r="F35" s="1">
        <v>2015</v>
      </c>
      <c r="G35" s="1">
        <v>2016</v>
      </c>
      <c r="H35" s="1">
        <v>2017</v>
      </c>
      <c r="I35" s="1">
        <v>2018</v>
      </c>
      <c r="J35" s="1">
        <v>2019</v>
      </c>
      <c r="K35" s="1">
        <v>2020</v>
      </c>
    </row>
    <row r="36" spans="1:11" ht="12.75">
      <c r="A36" s="1" t="s">
        <v>47</v>
      </c>
      <c r="B36" s="28">
        <v>1</v>
      </c>
      <c r="C36" s="28">
        <v>1</v>
      </c>
      <c r="D36" s="28">
        <v>1</v>
      </c>
      <c r="E36" s="28">
        <v>1</v>
      </c>
      <c r="F36" s="28">
        <v>1</v>
      </c>
      <c r="G36" s="28">
        <v>1</v>
      </c>
      <c r="H36" s="28">
        <v>1</v>
      </c>
      <c r="I36" s="28">
        <v>1</v>
      </c>
      <c r="J36" s="28">
        <v>1</v>
      </c>
      <c r="K36" s="28">
        <v>1</v>
      </c>
    </row>
    <row r="37" spans="1:11" ht="12.75">
      <c r="A37" s="1" t="s">
        <v>101</v>
      </c>
      <c r="B37" s="28">
        <v>0.15</v>
      </c>
      <c r="C37" s="28">
        <v>0.15</v>
      </c>
      <c r="D37" s="28">
        <v>0.15</v>
      </c>
      <c r="E37" s="28">
        <v>0.15</v>
      </c>
      <c r="F37" s="28">
        <v>0.15</v>
      </c>
      <c r="G37" s="28">
        <v>0.15</v>
      </c>
      <c r="H37" s="28">
        <v>0.15</v>
      </c>
      <c r="I37" s="28">
        <v>0.15</v>
      </c>
      <c r="J37" s="28">
        <v>0.15</v>
      </c>
      <c r="K37" s="28">
        <v>0.15</v>
      </c>
    </row>
    <row r="38" spans="1:11" ht="12.75">
      <c r="A38" s="1" t="s">
        <v>99</v>
      </c>
      <c r="B38" s="28">
        <v>0.15</v>
      </c>
      <c r="C38" s="28">
        <v>0.15</v>
      </c>
      <c r="D38" s="28">
        <v>0.15</v>
      </c>
      <c r="E38" s="28">
        <v>0.15</v>
      </c>
      <c r="F38" s="28">
        <v>0.15</v>
      </c>
      <c r="G38" s="28">
        <v>0.15</v>
      </c>
      <c r="H38" s="28">
        <v>0.15</v>
      </c>
      <c r="I38" s="28">
        <v>0.15</v>
      </c>
      <c r="J38" s="28">
        <v>0.15</v>
      </c>
      <c r="K38" s="28">
        <v>0.15</v>
      </c>
    </row>
    <row r="39" spans="1:11" ht="12.75">
      <c r="A39" s="1" t="s">
        <v>91</v>
      </c>
      <c r="B39" s="28">
        <v>1</v>
      </c>
      <c r="C39" s="28">
        <v>1</v>
      </c>
      <c r="D39" s="28">
        <v>1</v>
      </c>
      <c r="E39" s="28">
        <v>1</v>
      </c>
      <c r="F39" s="28">
        <v>1</v>
      </c>
      <c r="G39" s="28">
        <v>1</v>
      </c>
      <c r="H39" s="28">
        <v>1</v>
      </c>
      <c r="I39" s="28">
        <v>1</v>
      </c>
      <c r="J39" s="28">
        <v>1</v>
      </c>
      <c r="K39" s="28">
        <v>1</v>
      </c>
    </row>
    <row r="42" spans="1:7" ht="12.75">
      <c r="A42" s="48" t="s">
        <v>111</v>
      </c>
      <c r="E42" s="45"/>
      <c r="F42" s="45"/>
      <c r="G42" s="46"/>
    </row>
    <row r="43" spans="2:11" ht="12.75">
      <c r="B43" s="1"/>
      <c r="C43" s="58">
        <v>2004</v>
      </c>
      <c r="D43" s="58">
        <v>2005</v>
      </c>
      <c r="E43" s="58">
        <v>2006</v>
      </c>
      <c r="F43" s="80">
        <v>2007</v>
      </c>
      <c r="G43" s="80">
        <v>2008</v>
      </c>
      <c r="H43" s="95">
        <v>2009</v>
      </c>
      <c r="I43" s="58">
        <v>2010</v>
      </c>
      <c r="J43" s="58">
        <v>2011</v>
      </c>
      <c r="K43" s="58">
        <v>2012</v>
      </c>
    </row>
    <row r="44" spans="2:11" ht="12.75">
      <c r="B44" s="1" t="s">
        <v>28</v>
      </c>
      <c r="C44" s="68">
        <v>1</v>
      </c>
      <c r="D44" s="68">
        <v>0.825</v>
      </c>
      <c r="E44" s="68">
        <v>0.6</v>
      </c>
      <c r="F44" s="69">
        <v>0.45</v>
      </c>
      <c r="G44" s="69">
        <v>0.3</v>
      </c>
      <c r="H44" s="69">
        <v>0.25</v>
      </c>
      <c r="I44" s="68">
        <v>0.2</v>
      </c>
      <c r="J44" s="68">
        <v>0.2</v>
      </c>
      <c r="K44" s="68">
        <v>0.15</v>
      </c>
    </row>
    <row r="45" spans="2:11" ht="12.75">
      <c r="B45" s="1" t="s">
        <v>48</v>
      </c>
      <c r="C45" s="68">
        <v>0</v>
      </c>
      <c r="D45" s="68">
        <v>0.1</v>
      </c>
      <c r="E45" s="68">
        <v>0.35</v>
      </c>
      <c r="F45" s="69">
        <v>0.55</v>
      </c>
      <c r="G45" s="69">
        <v>0.85</v>
      </c>
      <c r="H45" s="69">
        <v>0.9</v>
      </c>
      <c r="I45" s="69">
        <v>1</v>
      </c>
      <c r="J45" s="69">
        <v>1</v>
      </c>
      <c r="K45" s="69">
        <v>1</v>
      </c>
    </row>
    <row r="46" spans="2:8" ht="12.75">
      <c r="B46" s="2"/>
      <c r="C46" s="2"/>
      <c r="D46" s="2"/>
      <c r="E46" s="2"/>
      <c r="F46" s="45"/>
      <c r="G46" s="45"/>
      <c r="H46" s="46"/>
    </row>
    <row r="47" spans="1:8" ht="12.75">
      <c r="A47" s="91" t="s">
        <v>100</v>
      </c>
      <c r="B47" s="1"/>
      <c r="C47" s="1">
        <v>0.45</v>
      </c>
      <c r="D47" s="2"/>
      <c r="E47" s="2"/>
      <c r="F47" s="45"/>
      <c r="G47" s="45"/>
      <c r="H47" s="46"/>
    </row>
    <row r="49" spans="1:11" ht="12.75">
      <c r="A49" s="48" t="s">
        <v>164</v>
      </c>
      <c r="B49" s="1"/>
      <c r="C49" s="58">
        <v>2004</v>
      </c>
      <c r="D49" s="58">
        <v>2005</v>
      </c>
      <c r="E49" s="58">
        <v>2006</v>
      </c>
      <c r="F49" s="80">
        <v>2007</v>
      </c>
      <c r="G49" s="80">
        <v>2008</v>
      </c>
      <c r="H49" s="95">
        <v>2009</v>
      </c>
      <c r="I49" s="58">
        <v>2010</v>
      </c>
      <c r="J49" s="58">
        <v>2011</v>
      </c>
      <c r="K49" s="58">
        <v>2012</v>
      </c>
    </row>
    <row r="50" spans="2:11" ht="12.75">
      <c r="B50" s="1"/>
      <c r="C50" s="1">
        <v>275</v>
      </c>
      <c r="D50" s="1">
        <v>275</v>
      </c>
      <c r="E50" s="1">
        <v>275</v>
      </c>
      <c r="F50" s="1">
        <v>275</v>
      </c>
      <c r="G50" s="1">
        <v>275</v>
      </c>
      <c r="H50" s="1">
        <v>275</v>
      </c>
      <c r="I50" s="1">
        <v>275</v>
      </c>
      <c r="J50" s="1">
        <v>225</v>
      </c>
      <c r="K50" s="1">
        <v>175</v>
      </c>
    </row>
    <row r="52" spans="2:8" ht="12.75">
      <c r="B52" s="2"/>
      <c r="C52" s="2"/>
      <c r="D52" s="2"/>
      <c r="E52" s="2"/>
      <c r="F52" s="45"/>
      <c r="G52" s="45"/>
      <c r="H52" s="46"/>
    </row>
    <row r="54" spans="1:13" ht="12.75">
      <c r="A54" s="48" t="s">
        <v>112</v>
      </c>
      <c r="C54" s="61"/>
      <c r="D54" s="61"/>
      <c r="E54" s="61"/>
      <c r="F54" s="61"/>
      <c r="G54" s="61"/>
      <c r="H54" s="61"/>
      <c r="L54" s="143" t="s">
        <v>163</v>
      </c>
      <c r="M54" s="143" t="s">
        <v>167</v>
      </c>
    </row>
    <row r="55" spans="2:13" ht="12.75">
      <c r="B55" s="1"/>
      <c r="C55" s="70">
        <v>2004</v>
      </c>
      <c r="D55" s="70">
        <v>2005</v>
      </c>
      <c r="E55" s="70">
        <v>2006</v>
      </c>
      <c r="F55" s="70">
        <v>2007</v>
      </c>
      <c r="G55" s="70">
        <v>2008</v>
      </c>
      <c r="H55" s="94">
        <v>2009</v>
      </c>
      <c r="I55" s="1">
        <v>2010</v>
      </c>
      <c r="J55" s="1">
        <v>2011</v>
      </c>
      <c r="K55" s="17">
        <v>2012</v>
      </c>
      <c r="L55" s="143"/>
      <c r="M55" s="143"/>
    </row>
    <row r="56" spans="1:13" ht="12.75">
      <c r="A56" s="1" t="s">
        <v>113</v>
      </c>
      <c r="B56" s="1" t="s">
        <v>28</v>
      </c>
      <c r="C56" s="68">
        <f>+$G$5</f>
        <v>2.68</v>
      </c>
      <c r="D56" s="68">
        <f>+(($C56-1)*D$44)+1</f>
        <v>2.386</v>
      </c>
      <c r="E56" s="68">
        <f>+(($C56-1)*E$44)+1</f>
        <v>2.008</v>
      </c>
      <c r="F56" s="68">
        <f>+(($C56-1)*F$44)+1</f>
        <v>1.7560000000000002</v>
      </c>
      <c r="G56" s="68">
        <f>+(($C56-1)*G$44)+1</f>
        <v>1.504</v>
      </c>
      <c r="H56" s="71">
        <f>+(($H5-1)*H$44)+1</f>
        <v>1.42</v>
      </c>
      <c r="I56" s="71">
        <f>+(($H5-1)*I$44)+1</f>
        <v>1.336</v>
      </c>
      <c r="J56" s="71">
        <f>+((I5-1)*J$44)+1</f>
        <v>1.336</v>
      </c>
      <c r="K56" s="71">
        <f>+((J5-1)*K$44)+1</f>
        <v>1.252</v>
      </c>
      <c r="L56" s="101">
        <f>+G56/C56</f>
        <v>0.5611940298507463</v>
      </c>
      <c r="M56" s="28">
        <f>+K56/C56</f>
        <v>0.4671641791044776</v>
      </c>
    </row>
    <row r="57" spans="1:13" ht="12.75">
      <c r="A57" s="1"/>
      <c r="B57" s="1" t="s">
        <v>48</v>
      </c>
      <c r="C57" s="69">
        <f aca="true" t="shared" si="5" ref="C57:K57">+(($M$5-1)*C$45)+1</f>
        <v>1</v>
      </c>
      <c r="D57" s="69">
        <f t="shared" si="5"/>
        <v>1.050467289719626</v>
      </c>
      <c r="E57" s="69">
        <f t="shared" si="5"/>
        <v>1.1766355140186917</v>
      </c>
      <c r="F57" s="69">
        <f t="shared" si="5"/>
        <v>1.2775700934579441</v>
      </c>
      <c r="G57" s="69">
        <f t="shared" si="5"/>
        <v>1.4289719626168227</v>
      </c>
      <c r="H57" s="69">
        <f t="shared" si="5"/>
        <v>1.4542056074766359</v>
      </c>
      <c r="I57" s="69">
        <f t="shared" si="5"/>
        <v>1.504672897196262</v>
      </c>
      <c r="J57" s="69">
        <f t="shared" si="5"/>
        <v>1.504672897196262</v>
      </c>
      <c r="K57" s="69">
        <f t="shared" si="5"/>
        <v>1.504672897196262</v>
      </c>
      <c r="L57" s="28">
        <f>+G57/C57</f>
        <v>1.4289719626168227</v>
      </c>
      <c r="M57" s="28">
        <f>+K57/C57</f>
        <v>1.504672897196262</v>
      </c>
    </row>
    <row r="58" spans="1:13" ht="12.75">
      <c r="A58" s="1"/>
      <c r="B58" s="1" t="s">
        <v>125</v>
      </c>
      <c r="C58" s="68">
        <f>+C56*C57</f>
        <v>2.68</v>
      </c>
      <c r="D58" s="68">
        <f>+D56*D57</f>
        <v>2.506414953271028</v>
      </c>
      <c r="E58" s="68">
        <f>+E56*E57</f>
        <v>2.362684112149533</v>
      </c>
      <c r="F58" s="68">
        <f>+F56*F57</f>
        <v>2.24341308411215</v>
      </c>
      <c r="G58" s="68">
        <f>+G56*G57</f>
        <v>2.1491738317757014</v>
      </c>
      <c r="H58" s="69">
        <f>+(($M$5-1)*H$45)+1</f>
        <v>1.4542056074766359</v>
      </c>
      <c r="I58" s="69">
        <f>+(($M$5-1)*I$45)+1</f>
        <v>1.504672897196262</v>
      </c>
      <c r="J58" s="69">
        <f>+(($M$5-1)*J$45)+1</f>
        <v>1.504672897196262</v>
      </c>
      <c r="K58" s="69">
        <f>+(($M$5-1)*K$45)+1</f>
        <v>1.504672897196262</v>
      </c>
      <c r="L58" s="28">
        <f>+G58/C58</f>
        <v>0.8019305342446647</v>
      </c>
      <c r="M58" s="28">
        <f>+K58/C58</f>
        <v>0.5614451108941275</v>
      </c>
    </row>
    <row r="59" spans="3:8" ht="12.75">
      <c r="C59" s="61"/>
      <c r="D59" s="61"/>
      <c r="E59" s="61"/>
      <c r="F59" s="61"/>
      <c r="G59" s="61"/>
      <c r="H59" s="72"/>
    </row>
    <row r="60" spans="1:13" ht="12.75">
      <c r="A60" s="1" t="s">
        <v>114</v>
      </c>
      <c r="B60" s="1" t="s">
        <v>28</v>
      </c>
      <c r="C60" s="66">
        <f>+$G$6</f>
        <v>1</v>
      </c>
      <c r="D60" s="68">
        <f>+(($C60-1)*D$44)+1</f>
        <v>1</v>
      </c>
      <c r="E60" s="68">
        <f>+(($C60-1)*E$44)+1</f>
        <v>1</v>
      </c>
      <c r="F60" s="68">
        <f>+(($C60-1)*F$44)+1</f>
        <v>1</v>
      </c>
      <c r="G60" s="68">
        <f>+(($C60-1)*G$44)+1</f>
        <v>1</v>
      </c>
      <c r="H60" s="71">
        <f>+(($H6-1)*H$44)+1</f>
        <v>1</v>
      </c>
      <c r="I60" s="71">
        <f>+(($H6-1)*I$44)+1</f>
        <v>1</v>
      </c>
      <c r="J60" s="71">
        <f>+((I6-1)*J$44)+1</f>
        <v>1</v>
      </c>
      <c r="K60" s="71">
        <f>+((J6-1)*K$44)+1</f>
        <v>1</v>
      </c>
      <c r="L60" s="28">
        <f>+G60/C60</f>
        <v>1</v>
      </c>
      <c r="M60" s="28">
        <f>+K60/C60</f>
        <v>1</v>
      </c>
    </row>
    <row r="61" spans="1:13" ht="12.75">
      <c r="A61" s="1"/>
      <c r="B61" s="1" t="s">
        <v>48</v>
      </c>
      <c r="C61" s="69">
        <f aca="true" t="shared" si="6" ref="C61:K61">+(($M$6-1)*C$45)+1</f>
        <v>1</v>
      </c>
      <c r="D61" s="69">
        <f t="shared" si="6"/>
        <v>1.0350762527233115</v>
      </c>
      <c r="E61" s="69">
        <f t="shared" si="6"/>
        <v>1.1227668845315906</v>
      </c>
      <c r="F61" s="69">
        <f t="shared" si="6"/>
        <v>1.1929193899782136</v>
      </c>
      <c r="G61" s="69">
        <f t="shared" si="6"/>
        <v>1.2981481481481483</v>
      </c>
      <c r="H61" s="69">
        <f t="shared" si="6"/>
        <v>1.3156862745098041</v>
      </c>
      <c r="I61" s="69">
        <f t="shared" si="6"/>
        <v>1.3507625272331156</v>
      </c>
      <c r="J61" s="69">
        <f t="shared" si="6"/>
        <v>1.3507625272331156</v>
      </c>
      <c r="K61" s="69">
        <f t="shared" si="6"/>
        <v>1.3507625272331156</v>
      </c>
      <c r="L61" s="28">
        <f>+G61/C61</f>
        <v>1.2981481481481483</v>
      </c>
      <c r="M61" s="28">
        <f>+K61/C61</f>
        <v>1.3507625272331156</v>
      </c>
    </row>
    <row r="62" spans="1:13" ht="12.75">
      <c r="A62" s="1"/>
      <c r="B62" s="1" t="s">
        <v>125</v>
      </c>
      <c r="C62" s="68">
        <f aca="true" t="shared" si="7" ref="C62:H62">+C60*C61</f>
        <v>1</v>
      </c>
      <c r="D62" s="68">
        <f t="shared" si="7"/>
        <v>1.0350762527233115</v>
      </c>
      <c r="E62" s="68">
        <f t="shared" si="7"/>
        <v>1.1227668845315906</v>
      </c>
      <c r="F62" s="68">
        <f t="shared" si="7"/>
        <v>1.1929193899782136</v>
      </c>
      <c r="G62" s="68">
        <f t="shared" si="7"/>
        <v>1.2981481481481483</v>
      </c>
      <c r="H62" s="68">
        <f t="shared" si="7"/>
        <v>1.3156862745098041</v>
      </c>
      <c r="I62" s="68">
        <f>+I60*I61</f>
        <v>1.3507625272331156</v>
      </c>
      <c r="J62" s="68">
        <f>+J60*J61</f>
        <v>1.3507625272331156</v>
      </c>
      <c r="K62" s="68">
        <f>+K60*K61</f>
        <v>1.3507625272331156</v>
      </c>
      <c r="L62" s="28">
        <f>+G62/C62</f>
        <v>1.2981481481481483</v>
      </c>
      <c r="M62" s="28">
        <f>+K62/C62</f>
        <v>1.3507625272331156</v>
      </c>
    </row>
    <row r="63" spans="3:8" ht="12.75">
      <c r="C63" s="61"/>
      <c r="D63" s="61"/>
      <c r="E63" s="62"/>
      <c r="F63" s="62"/>
      <c r="G63" s="67"/>
      <c r="H63" s="72"/>
    </row>
    <row r="64" spans="1:13" ht="12.75">
      <c r="A64" s="1" t="s">
        <v>115</v>
      </c>
      <c r="B64" s="1" t="s">
        <v>28</v>
      </c>
      <c r="C64" s="66">
        <f>+$G$7</f>
        <v>2.28</v>
      </c>
      <c r="D64" s="68">
        <f>+(($C64-1)*D$44)+1</f>
        <v>2.056</v>
      </c>
      <c r="E64" s="68">
        <f>+(($C64-1)*E$44)+1</f>
        <v>1.7679999999999998</v>
      </c>
      <c r="F64" s="68">
        <f>+(($C64-1)*F$44)+1</f>
        <v>1.576</v>
      </c>
      <c r="G64" s="68">
        <f>+(($C64-1)*G$44)+1</f>
        <v>1.384</v>
      </c>
      <c r="H64" s="71">
        <f>+(($H7-1)*H$44)+1</f>
        <v>1.3199999999999998</v>
      </c>
      <c r="I64" s="71">
        <f>+(($H7-1)*I$44)+1</f>
        <v>1.256</v>
      </c>
      <c r="J64" s="71">
        <f>+((I7-1)*J$44)+1</f>
        <v>1.256</v>
      </c>
      <c r="K64" s="71">
        <f>+((J7-1)*K$44)+1</f>
        <v>1.192</v>
      </c>
      <c r="L64" s="28">
        <f>+G64/C64</f>
        <v>0.6070175438596491</v>
      </c>
      <c r="M64" s="28">
        <f>+K64/C64</f>
        <v>0.5228070175438597</v>
      </c>
    </row>
    <row r="65" spans="1:13" ht="12.75">
      <c r="A65" s="1"/>
      <c r="B65" s="1" t="s">
        <v>48</v>
      </c>
      <c r="C65" s="69">
        <f aca="true" t="shared" si="8" ref="C65:K65">+(($M$7-1)*C$45)+1</f>
        <v>1</v>
      </c>
      <c r="D65" s="69">
        <f t="shared" si="8"/>
        <v>1.12048</v>
      </c>
      <c r="E65" s="69">
        <f t="shared" si="8"/>
        <v>1.42168</v>
      </c>
      <c r="F65" s="69">
        <f t="shared" si="8"/>
        <v>1.6626400000000001</v>
      </c>
      <c r="G65" s="69">
        <f t="shared" si="8"/>
        <v>2.02408</v>
      </c>
      <c r="H65" s="69">
        <f t="shared" si="8"/>
        <v>2.08432</v>
      </c>
      <c r="I65" s="69">
        <f t="shared" si="8"/>
        <v>2.2048</v>
      </c>
      <c r="J65" s="69">
        <f t="shared" si="8"/>
        <v>2.2048</v>
      </c>
      <c r="K65" s="69">
        <f t="shared" si="8"/>
        <v>2.2048</v>
      </c>
      <c r="L65" s="28">
        <f>+G65/C65</f>
        <v>2.02408</v>
      </c>
      <c r="M65" s="28">
        <f>+K65/C65</f>
        <v>2.2048</v>
      </c>
    </row>
    <row r="66" spans="1:13" ht="12.75">
      <c r="A66" s="1"/>
      <c r="B66" s="1" t="s">
        <v>125</v>
      </c>
      <c r="C66" s="68">
        <f aca="true" t="shared" si="9" ref="C66:H66">+C64*C65</f>
        <v>2.28</v>
      </c>
      <c r="D66" s="68">
        <f t="shared" si="9"/>
        <v>2.30370688</v>
      </c>
      <c r="E66" s="68">
        <f t="shared" si="9"/>
        <v>2.5135302399999997</v>
      </c>
      <c r="F66" s="68">
        <f t="shared" si="9"/>
        <v>2.62032064</v>
      </c>
      <c r="G66" s="68">
        <f t="shared" si="9"/>
        <v>2.80132672</v>
      </c>
      <c r="H66" s="68">
        <f t="shared" si="9"/>
        <v>2.7513023999999997</v>
      </c>
      <c r="I66" s="68">
        <f>+I64*I65</f>
        <v>2.7692288</v>
      </c>
      <c r="J66" s="68">
        <f>+J64*J65</f>
        <v>2.7692288</v>
      </c>
      <c r="K66" s="68">
        <f>+K64*K65</f>
        <v>2.6281216</v>
      </c>
      <c r="L66" s="28">
        <f>+G66/C66</f>
        <v>1.2286520701754386</v>
      </c>
      <c r="M66" s="28">
        <f>+K66/C66</f>
        <v>1.152684912280702</v>
      </c>
    </row>
    <row r="67" spans="3:8" ht="12.75">
      <c r="C67" s="61"/>
      <c r="D67" s="61"/>
      <c r="E67" s="62"/>
      <c r="F67" s="62"/>
      <c r="G67" s="67"/>
      <c r="H67" s="72"/>
    </row>
    <row r="68" spans="1:13" ht="12.75">
      <c r="A68" s="1" t="s">
        <v>116</v>
      </c>
      <c r="B68" s="1" t="s">
        <v>28</v>
      </c>
      <c r="C68" s="66">
        <f>+$G$8</f>
        <v>1</v>
      </c>
      <c r="D68" s="68">
        <f>+(($C68-1)*D$44)+1</f>
        <v>1</v>
      </c>
      <c r="E68" s="68">
        <f>+(($C68-1)*E$44)+1</f>
        <v>1</v>
      </c>
      <c r="F68" s="68">
        <f>+(($C68-1)*F$44)+1</f>
        <v>1</v>
      </c>
      <c r="G68" s="68">
        <f>+(($C68-1)*G$44)+1</f>
        <v>1</v>
      </c>
      <c r="H68" s="71">
        <f>+(($H8-1)*H$44)+1</f>
        <v>1</v>
      </c>
      <c r="I68" s="71">
        <f>+(($H8-1)*I$44)+1</f>
        <v>1</v>
      </c>
      <c r="J68" s="71">
        <f>+((I8-1)*J$44)+1</f>
        <v>1</v>
      </c>
      <c r="K68" s="71">
        <f>+((J8-1)*K$44)+1</f>
        <v>1</v>
      </c>
      <c r="L68" s="28">
        <f>+G68/C68</f>
        <v>1</v>
      </c>
      <c r="M68" s="28">
        <f>+K68/C68</f>
        <v>1</v>
      </c>
    </row>
    <row r="69" spans="1:13" ht="12.75">
      <c r="A69" s="1"/>
      <c r="B69" s="1" t="s">
        <v>48</v>
      </c>
      <c r="C69" s="69">
        <f aca="true" t="shared" si="10" ref="C69:K69">+(($M$8-1)*C$45)+1</f>
        <v>1</v>
      </c>
      <c r="D69" s="69">
        <f t="shared" si="10"/>
        <v>1.0350036310820625</v>
      </c>
      <c r="E69" s="69">
        <f t="shared" si="10"/>
        <v>1.1225127087872186</v>
      </c>
      <c r="F69" s="69">
        <f t="shared" si="10"/>
        <v>1.1925199709513437</v>
      </c>
      <c r="G69" s="69">
        <f t="shared" si="10"/>
        <v>1.297530864197531</v>
      </c>
      <c r="H69" s="69">
        <f t="shared" si="10"/>
        <v>1.3150326797385623</v>
      </c>
      <c r="I69" s="69">
        <f t="shared" si="10"/>
        <v>1.3500363108206248</v>
      </c>
      <c r="J69" s="69">
        <f t="shared" si="10"/>
        <v>1.3500363108206248</v>
      </c>
      <c r="K69" s="69">
        <f t="shared" si="10"/>
        <v>1.3500363108206248</v>
      </c>
      <c r="L69" s="28">
        <f>+G69/C69</f>
        <v>1.297530864197531</v>
      </c>
      <c r="M69" s="28">
        <f>+K69/C69</f>
        <v>1.3500363108206248</v>
      </c>
    </row>
    <row r="70" spans="1:13" ht="12.75">
      <c r="A70" s="1"/>
      <c r="B70" s="1" t="s">
        <v>125</v>
      </c>
      <c r="C70" s="68">
        <f aca="true" t="shared" si="11" ref="C70:H70">+C68*C69</f>
        <v>1</v>
      </c>
      <c r="D70" s="68">
        <f t="shared" si="11"/>
        <v>1.0350036310820625</v>
      </c>
      <c r="E70" s="68">
        <f t="shared" si="11"/>
        <v>1.1225127087872186</v>
      </c>
      <c r="F70" s="68">
        <f t="shared" si="11"/>
        <v>1.1925199709513437</v>
      </c>
      <c r="G70" s="68">
        <f t="shared" si="11"/>
        <v>1.297530864197531</v>
      </c>
      <c r="H70" s="68">
        <f t="shared" si="11"/>
        <v>1.3150326797385623</v>
      </c>
      <c r="I70" s="68">
        <f>+I68*I69</f>
        <v>1.3500363108206248</v>
      </c>
      <c r="J70" s="68">
        <f>+J68*J69</f>
        <v>1.3500363108206248</v>
      </c>
      <c r="K70" s="68">
        <f>+K68*K69</f>
        <v>1.3500363108206248</v>
      </c>
      <c r="L70" s="28">
        <f>+G70/C70</f>
        <v>1.297530864197531</v>
      </c>
      <c r="M70" s="28">
        <f>+K70/C70</f>
        <v>1.3500363108206248</v>
      </c>
    </row>
    <row r="71" spans="3:11" ht="12.75">
      <c r="C71" s="61"/>
      <c r="D71" s="61"/>
      <c r="E71" s="62"/>
      <c r="F71" s="62"/>
      <c r="G71" s="67"/>
      <c r="H71" s="72"/>
      <c r="I71" s="72"/>
      <c r="J71" s="72"/>
      <c r="K71" s="72"/>
    </row>
    <row r="72" spans="1:13" ht="12.75">
      <c r="A72" s="1" t="s">
        <v>117</v>
      </c>
      <c r="B72" s="1" t="s">
        <v>28</v>
      </c>
      <c r="C72" s="66">
        <f>+$G$9</f>
        <v>3.444</v>
      </c>
      <c r="D72" s="68">
        <f>+(($C72-1)*D$44)+1</f>
        <v>3.0162999999999998</v>
      </c>
      <c r="E72" s="68">
        <f>+(($C72-1)*E$44)+1</f>
        <v>2.4664</v>
      </c>
      <c r="F72" s="68">
        <f>+(($C72-1)*F$44)+1</f>
        <v>2.0998</v>
      </c>
      <c r="G72" s="68">
        <f>+(($C72-1)*G$44)+1</f>
        <v>1.7332</v>
      </c>
      <c r="H72" s="71">
        <f>+(($H9-1)*H$44)+1</f>
        <v>1.611</v>
      </c>
      <c r="I72" s="71">
        <f>+(($H9-1)*I$44)+1</f>
        <v>1.4888</v>
      </c>
      <c r="J72" s="71">
        <f>+((I9-1)*J$44)+1</f>
        <v>1.4888</v>
      </c>
      <c r="K72" s="71">
        <f>+((J9-1)*K$44)+1</f>
        <v>1.3666</v>
      </c>
      <c r="L72" s="28">
        <f>+G72/C72</f>
        <v>0.5032520325203252</v>
      </c>
      <c r="M72" s="28">
        <f>+K72/C72</f>
        <v>0.3968060394889663</v>
      </c>
    </row>
    <row r="73" spans="1:13" ht="12.75">
      <c r="A73" s="1"/>
      <c r="B73" s="1" t="s">
        <v>48</v>
      </c>
      <c r="C73" s="69">
        <f aca="true" t="shared" si="12" ref="C73:K73">+(($M$9-1)*C$45)+1</f>
        <v>1</v>
      </c>
      <c r="D73" s="69">
        <f t="shared" si="12"/>
        <v>1.1817429193899782</v>
      </c>
      <c r="E73" s="69">
        <f t="shared" si="12"/>
        <v>1.6361002178649235</v>
      </c>
      <c r="F73" s="69">
        <f t="shared" si="12"/>
        <v>1.9995860566448802</v>
      </c>
      <c r="G73" s="69">
        <f t="shared" si="12"/>
        <v>2.5448148148148144</v>
      </c>
      <c r="H73" s="69">
        <f t="shared" si="12"/>
        <v>2.6356862745098035</v>
      </c>
      <c r="I73" s="69">
        <f t="shared" si="12"/>
        <v>2.8174291938997817</v>
      </c>
      <c r="J73" s="69">
        <f t="shared" si="12"/>
        <v>2.8174291938997817</v>
      </c>
      <c r="K73" s="69">
        <f t="shared" si="12"/>
        <v>2.8174291938997817</v>
      </c>
      <c r="L73" s="28">
        <f>+G73/C73</f>
        <v>2.5448148148148144</v>
      </c>
      <c r="M73" s="28">
        <f>+K73/C73</f>
        <v>2.8174291938997817</v>
      </c>
    </row>
    <row r="74" spans="1:13" ht="12.75">
      <c r="A74" s="1"/>
      <c r="B74" s="1" t="s">
        <v>125</v>
      </c>
      <c r="C74" s="68">
        <f aca="true" t="shared" si="13" ref="C74:H74">+C72*C73</f>
        <v>3.444</v>
      </c>
      <c r="D74" s="68">
        <f t="shared" si="13"/>
        <v>3.564491167755991</v>
      </c>
      <c r="E74" s="68">
        <f t="shared" si="13"/>
        <v>4.035277577342048</v>
      </c>
      <c r="F74" s="68">
        <f t="shared" si="13"/>
        <v>4.1987308017429195</v>
      </c>
      <c r="G74" s="68">
        <f t="shared" si="13"/>
        <v>4.410673037037037</v>
      </c>
      <c r="H74" s="68">
        <f t="shared" si="13"/>
        <v>4.246090588235293</v>
      </c>
      <c r="I74" s="68">
        <f>+I72*I73</f>
        <v>4.194588583877994</v>
      </c>
      <c r="J74" s="68">
        <f>+J72*J73</f>
        <v>4.194588583877994</v>
      </c>
      <c r="K74" s="68">
        <f>+K72*K73</f>
        <v>3.8502987363834418</v>
      </c>
      <c r="L74" s="28">
        <f>+G74/C74</f>
        <v>1.2806832279433904</v>
      </c>
      <c r="M74" s="28">
        <f>+K74/C74</f>
        <v>1.1179729199719635</v>
      </c>
    </row>
    <row r="75" spans="1:11" ht="12.75">
      <c r="A75" s="2"/>
      <c r="B75" s="2"/>
      <c r="C75" s="61"/>
      <c r="D75" s="61"/>
      <c r="E75" s="62"/>
      <c r="F75" s="62"/>
      <c r="G75" s="67"/>
      <c r="H75" s="72"/>
      <c r="I75" s="72"/>
      <c r="J75" s="72"/>
      <c r="K75" s="72"/>
    </row>
    <row r="76" spans="1:13" ht="12.75">
      <c r="A76" s="1" t="s">
        <v>118</v>
      </c>
      <c r="B76" s="1" t="s">
        <v>28</v>
      </c>
      <c r="C76" s="66">
        <f>+$G$10</f>
        <v>1</v>
      </c>
      <c r="D76" s="68">
        <f>+(($C76-1)*D$44)+1</f>
        <v>1</v>
      </c>
      <c r="E76" s="68">
        <f>+(($C76-1)*E$44)+1</f>
        <v>1</v>
      </c>
      <c r="F76" s="68">
        <f>+(($C76-1)*F$44)+1</f>
        <v>1</v>
      </c>
      <c r="G76" s="68">
        <f>+(($C76-1)*G$44)+1</f>
        <v>1</v>
      </c>
      <c r="H76" s="71">
        <f>+(($H10-1)*H$44)+1</f>
        <v>1</v>
      </c>
      <c r="I76" s="71">
        <f>+(($H10-1)*I$44)+1</f>
        <v>1</v>
      </c>
      <c r="J76" s="71">
        <f>+((I10-1)*J$44)+1</f>
        <v>1</v>
      </c>
      <c r="K76" s="71">
        <f>+((J10-1)*K$44)+1</f>
        <v>1</v>
      </c>
      <c r="L76" s="28">
        <f>+G76/C76</f>
        <v>1</v>
      </c>
      <c r="M76" s="28">
        <f>+K76/C76</f>
        <v>1</v>
      </c>
    </row>
    <row r="77" spans="1:13" ht="12.75">
      <c r="A77" s="1"/>
      <c r="B77" s="1" t="s">
        <v>48</v>
      </c>
      <c r="C77" s="69">
        <f aca="true" t="shared" si="14" ref="C77:K77">+(($M$10-1)*C$45)+1</f>
        <v>1</v>
      </c>
      <c r="D77" s="69">
        <f t="shared" si="14"/>
        <v>1.0350762527233115</v>
      </c>
      <c r="E77" s="69">
        <f t="shared" si="14"/>
        <v>1.1227668845315906</v>
      </c>
      <c r="F77" s="69">
        <f t="shared" si="14"/>
        <v>1.1929193899782136</v>
      </c>
      <c r="G77" s="69">
        <f t="shared" si="14"/>
        <v>1.2981481481481483</v>
      </c>
      <c r="H77" s="69">
        <f t="shared" si="14"/>
        <v>1.3156862745098041</v>
      </c>
      <c r="I77" s="69">
        <f t="shared" si="14"/>
        <v>1.3507625272331156</v>
      </c>
      <c r="J77" s="69">
        <f t="shared" si="14"/>
        <v>1.3507625272331156</v>
      </c>
      <c r="K77" s="69">
        <f t="shared" si="14"/>
        <v>1.3507625272331156</v>
      </c>
      <c r="L77" s="28">
        <f>+G77/C77</f>
        <v>1.2981481481481483</v>
      </c>
      <c r="M77" s="28">
        <f>+K77/C77</f>
        <v>1.3507625272331156</v>
      </c>
    </row>
    <row r="78" spans="1:13" ht="12.75">
      <c r="A78" s="1"/>
      <c r="B78" s="1" t="s">
        <v>125</v>
      </c>
      <c r="C78" s="68">
        <f aca="true" t="shared" si="15" ref="C78:H78">+C76*C77</f>
        <v>1</v>
      </c>
      <c r="D78" s="68">
        <f t="shared" si="15"/>
        <v>1.0350762527233115</v>
      </c>
      <c r="E78" s="68">
        <f t="shared" si="15"/>
        <v>1.1227668845315906</v>
      </c>
      <c r="F78" s="68">
        <f t="shared" si="15"/>
        <v>1.1929193899782136</v>
      </c>
      <c r="G78" s="68">
        <f t="shared" si="15"/>
        <v>1.2981481481481483</v>
      </c>
      <c r="H78" s="68">
        <f t="shared" si="15"/>
        <v>1.3156862745098041</v>
      </c>
      <c r="I78" s="68">
        <f>+I76*I77</f>
        <v>1.3507625272331156</v>
      </c>
      <c r="J78" s="68">
        <f>+J76*J77</f>
        <v>1.3507625272331156</v>
      </c>
      <c r="K78" s="68">
        <f>+K76*K77</f>
        <v>1.3507625272331156</v>
      </c>
      <c r="L78" s="28">
        <f>+G78/C78</f>
        <v>1.2981481481481483</v>
      </c>
      <c r="M78" s="28">
        <f>+K78/C78</f>
        <v>1.3507625272331156</v>
      </c>
    </row>
    <row r="79" spans="1:11" ht="12.75">
      <c r="A79" s="2"/>
      <c r="B79" s="2"/>
      <c r="C79" s="61"/>
      <c r="D79" s="61"/>
      <c r="E79" s="61"/>
      <c r="F79" s="61"/>
      <c r="G79" s="61"/>
      <c r="H79" s="72"/>
      <c r="I79" s="72"/>
      <c r="J79" s="72"/>
      <c r="K79" s="72"/>
    </row>
    <row r="80" spans="1:13" ht="12.75">
      <c r="A80" s="1" t="s">
        <v>119</v>
      </c>
      <c r="B80" s="1" t="s">
        <v>28</v>
      </c>
      <c r="C80" s="66">
        <f>+$G$11</f>
        <v>4.008</v>
      </c>
      <c r="D80" s="68">
        <f>+(($C80-1)*D$44)+1</f>
        <v>3.4816</v>
      </c>
      <c r="E80" s="68">
        <f>+(($C80-1)*E$44)+1</f>
        <v>2.8048</v>
      </c>
      <c r="F80" s="68">
        <f>+(($C80-1)*F$44)+1</f>
        <v>2.3536</v>
      </c>
      <c r="G80" s="68">
        <f>+(($C80-1)*G$44)+1</f>
        <v>1.9024</v>
      </c>
      <c r="H80" s="71">
        <f>+(($H11-1)*H$44)+1</f>
        <v>1.752</v>
      </c>
      <c r="I80" s="71">
        <f>+(($H11-1)*I$44)+1</f>
        <v>1.6016</v>
      </c>
      <c r="J80" s="71">
        <f>+((I11-1)*J$44)+1</f>
        <v>1.6016</v>
      </c>
      <c r="K80" s="71">
        <f>+((J11-1)*K$44)+1</f>
        <v>1.4512</v>
      </c>
      <c r="L80" s="28">
        <f>+G80/C80</f>
        <v>0.4746506986027944</v>
      </c>
      <c r="M80" s="28">
        <f>+K80/C80</f>
        <v>0.36207584830339323</v>
      </c>
    </row>
    <row r="81" spans="1:13" ht="12.75">
      <c r="A81" s="1"/>
      <c r="B81" s="1" t="s">
        <v>48</v>
      </c>
      <c r="C81" s="69">
        <f aca="true" t="shared" si="16" ref="C81:K81">+(($M$11-1)*C$45)+1</f>
        <v>1</v>
      </c>
      <c r="D81" s="69">
        <f t="shared" si="16"/>
        <v>1.104074074074074</v>
      </c>
      <c r="E81" s="69">
        <f t="shared" si="16"/>
        <v>1.3642592592592593</v>
      </c>
      <c r="F81" s="69">
        <f t="shared" si="16"/>
        <v>1.5724074074074075</v>
      </c>
      <c r="G81" s="69">
        <f t="shared" si="16"/>
        <v>1.8846296296296297</v>
      </c>
      <c r="H81" s="69">
        <f t="shared" si="16"/>
        <v>1.9366666666666665</v>
      </c>
      <c r="I81" s="69">
        <f t="shared" si="16"/>
        <v>2.0407407407407407</v>
      </c>
      <c r="J81" s="69">
        <f t="shared" si="16"/>
        <v>2.0407407407407407</v>
      </c>
      <c r="K81" s="69">
        <f t="shared" si="16"/>
        <v>2.0407407407407407</v>
      </c>
      <c r="L81" s="28">
        <f>+G81/C81</f>
        <v>1.8846296296296297</v>
      </c>
      <c r="M81" s="28">
        <f>+K81/C81</f>
        <v>2.0407407407407407</v>
      </c>
    </row>
    <row r="82" spans="1:13" ht="12.75">
      <c r="A82" s="1"/>
      <c r="B82" s="1" t="s">
        <v>125</v>
      </c>
      <c r="C82" s="68">
        <f aca="true" t="shared" si="17" ref="C82:H82">+C80*C81</f>
        <v>4.008</v>
      </c>
      <c r="D82" s="68">
        <f t="shared" si="17"/>
        <v>3.843944296296296</v>
      </c>
      <c r="E82" s="68">
        <f t="shared" si="17"/>
        <v>3.8264743703703705</v>
      </c>
      <c r="F82" s="68">
        <f t="shared" si="17"/>
        <v>3.7008180740740744</v>
      </c>
      <c r="G82" s="68">
        <f t="shared" si="17"/>
        <v>3.5853194074074075</v>
      </c>
      <c r="H82" s="68">
        <f t="shared" si="17"/>
        <v>3.3930399999999996</v>
      </c>
      <c r="I82" s="68">
        <f>+I80*I81</f>
        <v>3.26845037037037</v>
      </c>
      <c r="J82" s="68">
        <f>+J80*J81</f>
        <v>3.26845037037037</v>
      </c>
      <c r="K82" s="68">
        <f>+K80*K81</f>
        <v>2.961522962962963</v>
      </c>
      <c r="L82" s="28">
        <f>+G82/C82</f>
        <v>0.8945407703112295</v>
      </c>
      <c r="M82" s="28">
        <f>+K82/C82</f>
        <v>0.7389029348709988</v>
      </c>
    </row>
    <row r="83" spans="1:11" ht="12.75">
      <c r="A83" s="2"/>
      <c r="B83" s="2"/>
      <c r="C83" s="61"/>
      <c r="D83" s="61"/>
      <c r="E83" s="62"/>
      <c r="F83" s="62"/>
      <c r="G83" s="67"/>
      <c r="H83" s="72"/>
      <c r="I83" s="72"/>
      <c r="J83" s="72"/>
      <c r="K83" s="72"/>
    </row>
    <row r="84" spans="1:13" ht="12.75">
      <c r="A84" s="1" t="s">
        <v>120</v>
      </c>
      <c r="B84" s="1" t="s">
        <v>28</v>
      </c>
      <c r="C84" s="66">
        <f>+$G$12</f>
        <v>2.2</v>
      </c>
      <c r="D84" s="68">
        <f>+(($C84-1)*D$44)+1</f>
        <v>1.9900000000000002</v>
      </c>
      <c r="E84" s="68">
        <f>+(($C84-1)*E$44)+1</f>
        <v>1.7200000000000002</v>
      </c>
      <c r="F84" s="68">
        <f>+(($C84-1)*F$44)+1</f>
        <v>1.54</v>
      </c>
      <c r="G84" s="68">
        <f>+(($C84-1)*G$44)+1</f>
        <v>1.36</v>
      </c>
      <c r="H84" s="71">
        <f>+(($H12-1)*H$44)+1</f>
        <v>1.3</v>
      </c>
      <c r="I84" s="71">
        <f>+(($H12-1)*I$44)+1</f>
        <v>1.24</v>
      </c>
      <c r="J84" s="71">
        <f>+((I12-1)*J$44)+1</f>
        <v>1.24</v>
      </c>
      <c r="K84" s="71">
        <f>+((J12-1)*K$44)+1</f>
        <v>1.18</v>
      </c>
      <c r="L84" s="28">
        <f>+G84/C84</f>
        <v>0.6181818181818182</v>
      </c>
      <c r="M84" s="28">
        <f>+K84/C84</f>
        <v>0.5363636363636363</v>
      </c>
    </row>
    <row r="85" spans="1:13" ht="12.75">
      <c r="A85" s="1"/>
      <c r="B85" s="1" t="s">
        <v>48</v>
      </c>
      <c r="C85" s="69">
        <f aca="true" t="shared" si="18" ref="C85:K85">+(($M$12-1)*C$45)+1</f>
        <v>1</v>
      </c>
      <c r="D85" s="69">
        <f t="shared" si="18"/>
        <v>1.0452432824981845</v>
      </c>
      <c r="E85" s="69">
        <f t="shared" si="18"/>
        <v>1.1583514887436457</v>
      </c>
      <c r="F85" s="69">
        <f t="shared" si="18"/>
        <v>1.2488380537400148</v>
      </c>
      <c r="G85" s="69">
        <f t="shared" si="18"/>
        <v>1.384567901234568</v>
      </c>
      <c r="H85" s="69">
        <f t="shared" si="18"/>
        <v>1.4071895424836602</v>
      </c>
      <c r="I85" s="69">
        <f t="shared" si="18"/>
        <v>1.4524328249818448</v>
      </c>
      <c r="J85" s="69">
        <f t="shared" si="18"/>
        <v>1.4524328249818448</v>
      </c>
      <c r="K85" s="69">
        <f t="shared" si="18"/>
        <v>1.4524328249818448</v>
      </c>
      <c r="L85" s="28">
        <f>+G85/C85</f>
        <v>1.384567901234568</v>
      </c>
      <c r="M85" s="28">
        <f>+K85/C85</f>
        <v>1.4524328249818448</v>
      </c>
    </row>
    <row r="86" spans="1:13" ht="12.75">
      <c r="A86" s="1"/>
      <c r="B86" s="1" t="s">
        <v>125</v>
      </c>
      <c r="C86" s="68">
        <f aca="true" t="shared" si="19" ref="C86:H86">+C84*C85</f>
        <v>2.2</v>
      </c>
      <c r="D86" s="68">
        <f t="shared" si="19"/>
        <v>2.0800341321713876</v>
      </c>
      <c r="E86" s="68">
        <f t="shared" si="19"/>
        <v>1.9923645606390707</v>
      </c>
      <c r="F86" s="68">
        <f t="shared" si="19"/>
        <v>1.9232106027596227</v>
      </c>
      <c r="G86" s="68">
        <f t="shared" si="19"/>
        <v>1.8830123456790127</v>
      </c>
      <c r="H86" s="68">
        <f t="shared" si="19"/>
        <v>1.8293464052287585</v>
      </c>
      <c r="I86" s="68">
        <f>+I84*I85</f>
        <v>1.8010167029774875</v>
      </c>
      <c r="J86" s="68">
        <f>+J84*J85</f>
        <v>1.8010167029774875</v>
      </c>
      <c r="K86" s="68">
        <f>+K84*K85</f>
        <v>1.7138707334785768</v>
      </c>
      <c r="L86" s="28">
        <f>+G86/C86</f>
        <v>0.8559147025813694</v>
      </c>
      <c r="M86" s="28">
        <f>+K86/C86</f>
        <v>0.7790321515811712</v>
      </c>
    </row>
    <row r="87" spans="1:11" ht="12.75">
      <c r="A87" s="2"/>
      <c r="B87" s="2"/>
      <c r="C87" s="61"/>
      <c r="D87" s="61"/>
      <c r="E87" s="62"/>
      <c r="F87" s="62"/>
      <c r="G87" s="67"/>
      <c r="H87" s="72"/>
      <c r="I87" s="72"/>
      <c r="J87" s="72"/>
      <c r="K87" s="72"/>
    </row>
    <row r="88" spans="1:13" ht="12.75">
      <c r="A88" s="1" t="s">
        <v>121</v>
      </c>
      <c r="B88" s="1" t="s">
        <v>28</v>
      </c>
      <c r="C88" s="66">
        <f>+$G$13</f>
        <v>4.16</v>
      </c>
      <c r="D88" s="68">
        <f>+(($C88-1)*D$44)+1</f>
        <v>3.6069999999999998</v>
      </c>
      <c r="E88" s="68">
        <f>+(($C88-1)*E$44)+1</f>
        <v>2.896</v>
      </c>
      <c r="F88" s="68">
        <f>+(($C88-1)*F$44)+1</f>
        <v>2.422</v>
      </c>
      <c r="G88" s="68">
        <f>+(($C88-1)*G$44)+1</f>
        <v>1.948</v>
      </c>
      <c r="H88" s="71">
        <f>+(($H13-1)*H$44)+1</f>
        <v>1.79</v>
      </c>
      <c r="I88" s="71">
        <f>+(($H13-1)*I$44)+1</f>
        <v>1.6320000000000001</v>
      </c>
      <c r="J88" s="71">
        <f>+((I13-1)*J$44)+1</f>
        <v>1.6320000000000001</v>
      </c>
      <c r="K88" s="71">
        <f>+((J13-1)*K$44)+1</f>
        <v>1.474</v>
      </c>
      <c r="L88" s="28">
        <f>+G88/C88</f>
        <v>0.4682692307692307</v>
      </c>
      <c r="M88" s="28">
        <f>+K88/C88</f>
        <v>0.35432692307692304</v>
      </c>
    </row>
    <row r="89" spans="1:13" ht="12.75">
      <c r="A89" s="1"/>
      <c r="B89" s="1" t="s">
        <v>48</v>
      </c>
      <c r="C89" s="69">
        <f aca="true" t="shared" si="20" ref="C89:K89">+(($M$13-1)*C$45)+1</f>
        <v>1</v>
      </c>
      <c r="D89" s="69">
        <f t="shared" si="20"/>
        <v>1.1859895833333334</v>
      </c>
      <c r="E89" s="69">
        <f t="shared" si="20"/>
        <v>1.6509635416666666</v>
      </c>
      <c r="F89" s="69">
        <f t="shared" si="20"/>
        <v>2.022942708333333</v>
      </c>
      <c r="G89" s="69">
        <f t="shared" si="20"/>
        <v>2.5809114583333326</v>
      </c>
      <c r="H89" s="69">
        <f t="shared" si="20"/>
        <v>2.67390625</v>
      </c>
      <c r="I89" s="69">
        <f t="shared" si="20"/>
        <v>2.859895833333333</v>
      </c>
      <c r="J89" s="69">
        <f t="shared" si="20"/>
        <v>2.859895833333333</v>
      </c>
      <c r="K89" s="69">
        <f t="shared" si="20"/>
        <v>2.859895833333333</v>
      </c>
      <c r="L89" s="28">
        <f>+G89/C89</f>
        <v>2.5809114583333326</v>
      </c>
      <c r="M89" s="28">
        <f>+K89/C89</f>
        <v>2.859895833333333</v>
      </c>
    </row>
    <row r="90" spans="1:13" ht="12.75">
      <c r="A90" s="1"/>
      <c r="B90" s="1" t="s">
        <v>125</v>
      </c>
      <c r="C90" s="68">
        <f aca="true" t="shared" si="21" ref="C90:H90">+C88*C89</f>
        <v>4.16</v>
      </c>
      <c r="D90" s="68">
        <f t="shared" si="21"/>
        <v>4.277864427083333</v>
      </c>
      <c r="E90" s="68">
        <f t="shared" si="21"/>
        <v>4.781190416666666</v>
      </c>
      <c r="F90" s="68">
        <f t="shared" si="21"/>
        <v>4.899567239583333</v>
      </c>
      <c r="G90" s="68">
        <f t="shared" si="21"/>
        <v>5.027615520833332</v>
      </c>
      <c r="H90" s="68">
        <f t="shared" si="21"/>
        <v>4.7862921875</v>
      </c>
      <c r="I90" s="68">
        <f>+I88*I89</f>
        <v>4.66735</v>
      </c>
      <c r="J90" s="68">
        <f>+J88*J89</f>
        <v>4.66735</v>
      </c>
      <c r="K90" s="68">
        <f>+K88*K89</f>
        <v>4.2154864583333325</v>
      </c>
      <c r="L90" s="28">
        <f>+G90/C90</f>
        <v>1.2085614232772433</v>
      </c>
      <c r="M90" s="28">
        <f>+K90/C90</f>
        <v>1.0133380909455125</v>
      </c>
    </row>
    <row r="91" spans="1:11" ht="12.75">
      <c r="A91" s="2"/>
      <c r="B91" s="2"/>
      <c r="C91" s="61"/>
      <c r="D91" s="61"/>
      <c r="E91" s="62"/>
      <c r="F91" s="62"/>
      <c r="G91" s="67"/>
      <c r="H91" s="72"/>
      <c r="I91" s="72"/>
      <c r="J91" s="72"/>
      <c r="K91" s="72"/>
    </row>
    <row r="92" spans="1:13" ht="12.75">
      <c r="A92" s="1" t="s">
        <v>122</v>
      </c>
      <c r="B92" s="1" t="s">
        <v>28</v>
      </c>
      <c r="C92" s="66">
        <f>+$G$14</f>
        <v>1.4</v>
      </c>
      <c r="D92" s="68">
        <f>+(($C92-1)*D$44)+1</f>
        <v>1.3299999999999998</v>
      </c>
      <c r="E92" s="68">
        <f>+(($C92-1)*E$44)+1</f>
        <v>1.24</v>
      </c>
      <c r="F92" s="68">
        <f>+(($C92-1)*F$44)+1</f>
        <v>1.18</v>
      </c>
      <c r="G92" s="68">
        <f>+(($C92-1)*G$44)+1</f>
        <v>1.1199999999999999</v>
      </c>
      <c r="H92" s="71">
        <f>+(($H14-1)*H$44)+1</f>
        <v>1.1</v>
      </c>
      <c r="I92" s="71">
        <f>+(($H14-1)*I$44)+1</f>
        <v>1.08</v>
      </c>
      <c r="J92" s="71">
        <f>+((I14-1)*J$44)+1</f>
        <v>1.08</v>
      </c>
      <c r="K92" s="71">
        <f>+((J14-1)*K$44)+1</f>
        <v>1.06</v>
      </c>
      <c r="L92" s="28">
        <f>+G92/C92</f>
        <v>0.7999999999999999</v>
      </c>
      <c r="M92" s="28">
        <f>+K92/C92</f>
        <v>0.7571428571428572</v>
      </c>
    </row>
    <row r="93" spans="1:13" ht="12.75">
      <c r="A93" s="1"/>
      <c r="B93" s="1" t="s">
        <v>48</v>
      </c>
      <c r="C93" s="69">
        <f aca="true" t="shared" si="22" ref="C93:K93">+(($M$14-1)*C$45)+1</f>
        <v>1</v>
      </c>
      <c r="D93" s="69">
        <f t="shared" si="22"/>
        <v>1.094800290486565</v>
      </c>
      <c r="E93" s="69">
        <f t="shared" si="22"/>
        <v>1.3318010167029777</v>
      </c>
      <c r="F93" s="69">
        <f t="shared" si="22"/>
        <v>1.5214015976761077</v>
      </c>
      <c r="G93" s="69">
        <f t="shared" si="22"/>
        <v>1.8058024691358026</v>
      </c>
      <c r="H93" s="69">
        <f t="shared" si="22"/>
        <v>1.8532026143790852</v>
      </c>
      <c r="I93" s="69">
        <f t="shared" si="22"/>
        <v>1.9480029048656502</v>
      </c>
      <c r="J93" s="69">
        <f t="shared" si="22"/>
        <v>1.9480029048656502</v>
      </c>
      <c r="K93" s="69">
        <f t="shared" si="22"/>
        <v>1.9480029048656502</v>
      </c>
      <c r="L93" s="28">
        <f>+G93/C93</f>
        <v>1.8058024691358026</v>
      </c>
      <c r="M93" s="28">
        <f>+K93/C93</f>
        <v>1.9480029048656502</v>
      </c>
    </row>
    <row r="94" spans="1:13" ht="12.75">
      <c r="A94" s="1"/>
      <c r="B94" s="1" t="s">
        <v>125</v>
      </c>
      <c r="C94" s="68">
        <f aca="true" t="shared" si="23" ref="C94:H94">+C92*C93</f>
        <v>1.4</v>
      </c>
      <c r="D94" s="68">
        <f t="shared" si="23"/>
        <v>1.4560843863471313</v>
      </c>
      <c r="E94" s="68">
        <f t="shared" si="23"/>
        <v>1.6514332607116924</v>
      </c>
      <c r="F94" s="68">
        <f t="shared" si="23"/>
        <v>1.795253885257807</v>
      </c>
      <c r="G94" s="68">
        <f t="shared" si="23"/>
        <v>2.0224987654320987</v>
      </c>
      <c r="H94" s="68">
        <f t="shared" si="23"/>
        <v>2.038522875816994</v>
      </c>
      <c r="I94" s="68">
        <f>+I92*I93</f>
        <v>2.1038431372549025</v>
      </c>
      <c r="J94" s="68">
        <f>+J92*J93</f>
        <v>2.1038431372549025</v>
      </c>
      <c r="K94" s="68">
        <f>+K92*K93</f>
        <v>2.0648830791575894</v>
      </c>
      <c r="L94" s="28">
        <f>+G94/C94</f>
        <v>1.4446419753086421</v>
      </c>
      <c r="M94" s="28">
        <f>+K94/C94</f>
        <v>1.474916485112564</v>
      </c>
    </row>
    <row r="95" spans="1:11" ht="12.75">
      <c r="A95" s="2"/>
      <c r="B95" s="2"/>
      <c r="C95" s="61"/>
      <c r="D95" s="61"/>
      <c r="E95" s="61"/>
      <c r="F95" s="61"/>
      <c r="G95" s="61"/>
      <c r="H95" s="72"/>
      <c r="I95" s="72"/>
      <c r="J95" s="72"/>
      <c r="K95" s="72"/>
    </row>
    <row r="96" spans="1:13" ht="12.75">
      <c r="A96" s="1" t="s">
        <v>123</v>
      </c>
      <c r="B96" s="1" t="s">
        <v>28</v>
      </c>
      <c r="C96" s="66">
        <f>+$G$15</f>
        <v>4.696000000000001</v>
      </c>
      <c r="D96" s="68">
        <f>+(($C96-1)*D$44)+1</f>
        <v>4.049200000000001</v>
      </c>
      <c r="E96" s="68">
        <f>+(($C96-1)*E$44)+1</f>
        <v>3.2176000000000005</v>
      </c>
      <c r="F96" s="68">
        <f>+(($C96-1)*F$44)+1</f>
        <v>2.6632000000000002</v>
      </c>
      <c r="G96" s="68">
        <f>+(($C96-1)*G$44)+1</f>
        <v>2.1088000000000005</v>
      </c>
      <c r="H96" s="71">
        <f>+(($H15-1)*H$44)+1</f>
        <v>1.9240000000000002</v>
      </c>
      <c r="I96" s="71">
        <f>+(($H15-1)*I$44)+1</f>
        <v>1.7392000000000003</v>
      </c>
      <c r="J96" s="71">
        <f>+((I15-1)*J$44)+1</f>
        <v>1.7392000000000003</v>
      </c>
      <c r="K96" s="71">
        <f>+((J15-1)*K$44)+1</f>
        <v>1.5544000000000002</v>
      </c>
      <c r="L96" s="28">
        <f>+G96/C96</f>
        <v>0.4490630323679728</v>
      </c>
      <c r="M96" s="28">
        <f>+K96/C96</f>
        <v>0.33100511073253835</v>
      </c>
    </row>
    <row r="97" spans="1:13" ht="12.75">
      <c r="A97" s="1"/>
      <c r="B97" s="1" t="s">
        <v>48</v>
      </c>
      <c r="C97" s="69">
        <f aca="true" t="shared" si="24" ref="C97:K97">+(($M$15-1)*C$45)+1</f>
        <v>1</v>
      </c>
      <c r="D97" s="69">
        <f t="shared" si="24"/>
        <v>1.1735466666666667</v>
      </c>
      <c r="E97" s="69">
        <f t="shared" si="24"/>
        <v>1.6074133333333331</v>
      </c>
      <c r="F97" s="69">
        <f t="shared" si="24"/>
        <v>1.9545066666666666</v>
      </c>
      <c r="G97" s="69">
        <f t="shared" si="24"/>
        <v>2.4751466666666664</v>
      </c>
      <c r="H97" s="69">
        <f t="shared" si="24"/>
        <v>2.5619199999999998</v>
      </c>
      <c r="I97" s="69">
        <f t="shared" si="24"/>
        <v>2.7354666666666665</v>
      </c>
      <c r="J97" s="69">
        <f t="shared" si="24"/>
        <v>2.7354666666666665</v>
      </c>
      <c r="K97" s="69">
        <f t="shared" si="24"/>
        <v>2.7354666666666665</v>
      </c>
      <c r="L97" s="28">
        <f>+G97/C97</f>
        <v>2.4751466666666664</v>
      </c>
      <c r="M97" s="28">
        <f>+K97/C97</f>
        <v>2.7354666666666665</v>
      </c>
    </row>
    <row r="98" spans="1:13" ht="12.75">
      <c r="A98" s="1"/>
      <c r="B98" s="1" t="s">
        <v>125</v>
      </c>
      <c r="C98" s="68">
        <f aca="true" t="shared" si="25" ref="C98:H98">+C96*C97</f>
        <v>4.696000000000001</v>
      </c>
      <c r="D98" s="68">
        <f t="shared" si="25"/>
        <v>4.751925162666668</v>
      </c>
      <c r="E98" s="68">
        <f t="shared" si="25"/>
        <v>5.172013141333333</v>
      </c>
      <c r="F98" s="68">
        <f t="shared" si="25"/>
        <v>5.205242154666667</v>
      </c>
      <c r="G98" s="68">
        <f t="shared" si="25"/>
        <v>5.219589290666667</v>
      </c>
      <c r="H98" s="68">
        <f t="shared" si="25"/>
        <v>4.92913408</v>
      </c>
      <c r="I98" s="68">
        <f>+I96*I97</f>
        <v>4.757523626666667</v>
      </c>
      <c r="J98" s="68">
        <f>+J96*J97</f>
        <v>4.757523626666667</v>
      </c>
      <c r="K98" s="68">
        <f>+K96*K97</f>
        <v>4.252009386666667</v>
      </c>
      <c r="L98" s="28">
        <f>+G98/C98</f>
        <v>1.111496867688813</v>
      </c>
      <c r="M98" s="28">
        <f>+K98/C98</f>
        <v>0.9054534469051674</v>
      </c>
    </row>
    <row r="99" spans="1:11" ht="12.75">
      <c r="A99" s="2"/>
      <c r="B99" s="2"/>
      <c r="C99" s="61"/>
      <c r="D99" s="61"/>
      <c r="E99" s="61"/>
      <c r="F99" s="61"/>
      <c r="G99" s="61"/>
      <c r="H99" s="72"/>
      <c r="I99" s="72"/>
      <c r="J99" s="72"/>
      <c r="K99" s="72"/>
    </row>
    <row r="100" spans="1:13" ht="12.75">
      <c r="A100" s="1" t="s">
        <v>124</v>
      </c>
      <c r="B100" s="1" t="s">
        <v>28</v>
      </c>
      <c r="C100" s="66">
        <f>+$G$16</f>
        <v>1.4</v>
      </c>
      <c r="D100" s="68">
        <f>+(($C100-1)*D$44)+1</f>
        <v>1.3299999999999998</v>
      </c>
      <c r="E100" s="68">
        <f>+(($C100-1)*E$44)+1</f>
        <v>1.24</v>
      </c>
      <c r="F100" s="68">
        <f>+(($C100-1)*F$44)+1</f>
        <v>1.18</v>
      </c>
      <c r="G100" s="68">
        <f>+(($C100-1)*G$44)+1</f>
        <v>1.1199999999999999</v>
      </c>
      <c r="H100" s="71">
        <f>+(($H16-1)*H$44)+1</f>
        <v>1.1</v>
      </c>
      <c r="I100" s="71">
        <f>+(($H16-1)*I$44)+1</f>
        <v>1.08</v>
      </c>
      <c r="J100" s="71">
        <f>+((I16-1)*J$44)+1</f>
        <v>1.08</v>
      </c>
      <c r="K100" s="71">
        <f>+((J16-1)*K$44)+1</f>
        <v>1.06</v>
      </c>
      <c r="L100" s="28">
        <f>+G100/C100</f>
        <v>0.7999999999999999</v>
      </c>
      <c r="M100" s="28">
        <f>+K100/C100</f>
        <v>0.7571428571428572</v>
      </c>
    </row>
    <row r="101" spans="1:13" ht="12.75">
      <c r="A101" s="1"/>
      <c r="B101" s="1" t="s">
        <v>48</v>
      </c>
      <c r="C101" s="69">
        <f aca="true" t="shared" si="26" ref="C101:K101">+(($M$16-1)*C$45)+1</f>
        <v>1</v>
      </c>
      <c r="D101" s="69">
        <f t="shared" si="26"/>
        <v>1.085039941902687</v>
      </c>
      <c r="E101" s="69">
        <f t="shared" si="26"/>
        <v>1.2976397966594044</v>
      </c>
      <c r="F101" s="69">
        <f t="shared" si="26"/>
        <v>1.4677196804647785</v>
      </c>
      <c r="G101" s="69">
        <f t="shared" si="26"/>
        <v>1.7228395061728397</v>
      </c>
      <c r="H101" s="69">
        <f t="shared" si="26"/>
        <v>1.7653594771241832</v>
      </c>
      <c r="I101" s="69">
        <f t="shared" si="26"/>
        <v>1.8503994190268702</v>
      </c>
      <c r="J101" s="69">
        <f t="shared" si="26"/>
        <v>1.8503994190268702</v>
      </c>
      <c r="K101" s="69">
        <f t="shared" si="26"/>
        <v>1.8503994190268702</v>
      </c>
      <c r="L101" s="28">
        <f>+G101/C101</f>
        <v>1.7228395061728397</v>
      </c>
      <c r="M101" s="28">
        <f>+K101/C101</f>
        <v>1.8503994190268702</v>
      </c>
    </row>
    <row r="102" spans="1:13" ht="12.75">
      <c r="A102" s="1"/>
      <c r="B102" s="1" t="s">
        <v>125</v>
      </c>
      <c r="C102" s="68">
        <f aca="true" t="shared" si="27" ref="C102:H102">+C100*C101</f>
        <v>1.4</v>
      </c>
      <c r="D102" s="68">
        <f t="shared" si="27"/>
        <v>1.4431031227305735</v>
      </c>
      <c r="E102" s="68">
        <f t="shared" si="27"/>
        <v>1.6090733478576615</v>
      </c>
      <c r="F102" s="68">
        <f t="shared" si="27"/>
        <v>1.7319092229484385</v>
      </c>
      <c r="G102" s="68">
        <f t="shared" si="27"/>
        <v>1.9295802469135803</v>
      </c>
      <c r="H102" s="68">
        <f t="shared" si="27"/>
        <v>1.9418954248366016</v>
      </c>
      <c r="I102" s="68">
        <f>+I100*I101</f>
        <v>1.99843137254902</v>
      </c>
      <c r="J102" s="68">
        <f>+J100*J101</f>
        <v>1.99843137254902</v>
      </c>
      <c r="K102" s="68">
        <f>+K100*K101</f>
        <v>1.9614233841684825</v>
      </c>
      <c r="L102" s="28">
        <f>+G102/C102</f>
        <v>1.3782716049382717</v>
      </c>
      <c r="M102" s="28">
        <f>+K102/C102</f>
        <v>1.4010167029774876</v>
      </c>
    </row>
    <row r="103" spans="1:11" ht="12.75">
      <c r="A103" s="2"/>
      <c r="B103" s="2"/>
      <c r="C103" s="61"/>
      <c r="D103" s="61"/>
      <c r="E103" s="62"/>
      <c r="F103" s="62"/>
      <c r="G103" s="67"/>
      <c r="H103" s="72"/>
      <c r="I103" s="72"/>
      <c r="J103" s="72"/>
      <c r="K103" s="72"/>
    </row>
    <row r="104" spans="1:13" ht="12.75">
      <c r="A104" s="1" t="s">
        <v>42</v>
      </c>
      <c r="B104" s="1" t="s">
        <v>28</v>
      </c>
      <c r="C104" s="66">
        <f>+$G$18</f>
        <v>1</v>
      </c>
      <c r="D104" s="68">
        <f>+(($C104-1)*D$44)+1</f>
        <v>1</v>
      </c>
      <c r="E104" s="68">
        <f>+(($C104-1)*E$44)+1</f>
        <v>1</v>
      </c>
      <c r="F104" s="68">
        <f>+(($C104-1)*F$44)+1</f>
        <v>1</v>
      </c>
      <c r="G104" s="68">
        <f>+(($C104-1)*G$44)+1</f>
        <v>1</v>
      </c>
      <c r="H104" s="71">
        <f>+(($H18-1)*H$44)+1</f>
        <v>1</v>
      </c>
      <c r="I104" s="71">
        <f>+(($H18-1)*I$44)+1</f>
        <v>1</v>
      </c>
      <c r="J104" s="71">
        <f>+((I18-1)*J$44)+1</f>
        <v>1</v>
      </c>
      <c r="K104" s="71">
        <f>+((J18-1)*K$44)+1</f>
        <v>1</v>
      </c>
      <c r="L104" s="28">
        <f>+G104/C104</f>
        <v>1</v>
      </c>
      <c r="M104" s="28">
        <f>+K104/C104</f>
        <v>1</v>
      </c>
    </row>
    <row r="105" spans="1:13" ht="12.75">
      <c r="A105" s="1"/>
      <c r="B105" s="1" t="s">
        <v>48</v>
      </c>
      <c r="C105" s="69">
        <f aca="true" t="shared" si="28" ref="C105:K105">+(($M$18-1)*C$45)+1</f>
        <v>1</v>
      </c>
      <c r="D105" s="69">
        <f t="shared" si="28"/>
        <v>1</v>
      </c>
      <c r="E105" s="69">
        <f t="shared" si="28"/>
        <v>1</v>
      </c>
      <c r="F105" s="69">
        <f t="shared" si="28"/>
        <v>1</v>
      </c>
      <c r="G105" s="69">
        <f t="shared" si="28"/>
        <v>1</v>
      </c>
      <c r="H105" s="69">
        <f t="shared" si="28"/>
        <v>1</v>
      </c>
      <c r="I105" s="69">
        <f t="shared" si="28"/>
        <v>1</v>
      </c>
      <c r="J105" s="69">
        <f t="shared" si="28"/>
        <v>1</v>
      </c>
      <c r="K105" s="69">
        <f t="shared" si="28"/>
        <v>1</v>
      </c>
      <c r="L105" s="28">
        <f>+G105/C105</f>
        <v>1</v>
      </c>
      <c r="M105" s="28">
        <f>+K105/C105</f>
        <v>1</v>
      </c>
    </row>
    <row r="106" spans="1:13" ht="12.75">
      <c r="A106" s="1"/>
      <c r="B106" s="1" t="s">
        <v>125</v>
      </c>
      <c r="C106" s="68">
        <f aca="true" t="shared" si="29" ref="C106:H106">+C104*C105</f>
        <v>1</v>
      </c>
      <c r="D106" s="68">
        <f t="shared" si="29"/>
        <v>1</v>
      </c>
      <c r="E106" s="68">
        <f t="shared" si="29"/>
        <v>1</v>
      </c>
      <c r="F106" s="68">
        <f t="shared" si="29"/>
        <v>1</v>
      </c>
      <c r="G106" s="68">
        <f t="shared" si="29"/>
        <v>1</v>
      </c>
      <c r="H106" s="68">
        <f t="shared" si="29"/>
        <v>1</v>
      </c>
      <c r="I106" s="68">
        <f>+I104*I105</f>
        <v>1</v>
      </c>
      <c r="J106" s="68">
        <f>+J104*J105</f>
        <v>1</v>
      </c>
      <c r="K106" s="68">
        <f>+K104*K105</f>
        <v>1</v>
      </c>
      <c r="L106" s="28">
        <f>+G106/C106</f>
        <v>1</v>
      </c>
      <c r="M106" s="28">
        <f>+K106/C106</f>
        <v>1</v>
      </c>
    </row>
    <row r="107" spans="1:11" ht="12.75">
      <c r="A107" s="2"/>
      <c r="B107" s="2"/>
      <c r="C107" s="61"/>
      <c r="D107" s="61"/>
      <c r="E107" s="62"/>
      <c r="F107" s="62"/>
      <c r="G107" s="67"/>
      <c r="H107" s="72"/>
      <c r="I107" s="72"/>
      <c r="J107" s="72"/>
      <c r="K107" s="72"/>
    </row>
    <row r="108" spans="1:13" ht="12.75">
      <c r="A108" s="1" t="s">
        <v>106</v>
      </c>
      <c r="B108" s="1" t="s">
        <v>28</v>
      </c>
      <c r="C108" s="66">
        <f>+$G$19</f>
        <v>10</v>
      </c>
      <c r="D108" s="68">
        <f>+(($C108-1)*D$44)+1</f>
        <v>8.425</v>
      </c>
      <c r="E108" s="68">
        <f>+(($C108-1)*E$44)+1</f>
        <v>6.3999999999999995</v>
      </c>
      <c r="F108" s="68">
        <f>+(($C108-1)*F$44)+1</f>
        <v>5.05</v>
      </c>
      <c r="G108" s="68">
        <f>+(($C108-1)*G$44)+1</f>
        <v>3.6999999999999997</v>
      </c>
      <c r="H108" s="71">
        <f>+(($H19-1)*H$44)+1</f>
        <v>3.25</v>
      </c>
      <c r="I108" s="71">
        <f>+(($H19-1)*I$44)+1</f>
        <v>2.8</v>
      </c>
      <c r="J108" s="71">
        <f>+((I19-1)*J$44)+1</f>
        <v>2.4000000000000004</v>
      </c>
      <c r="K108" s="71">
        <f>+((J19-1)*K$44)+1</f>
        <v>1.75</v>
      </c>
      <c r="L108" s="28">
        <f>+G108/C108</f>
        <v>0.37</v>
      </c>
      <c r="M108" s="28">
        <f>+K108/C108</f>
        <v>0.175</v>
      </c>
    </row>
    <row r="109" spans="1:13" ht="12.75">
      <c r="A109" s="1"/>
      <c r="B109" s="1" t="s">
        <v>48</v>
      </c>
      <c r="C109" s="69">
        <f aca="true" t="shared" si="30" ref="C109:K109">+(($M$19-1)*C$45)+1</f>
        <v>1</v>
      </c>
      <c r="D109" s="69">
        <f t="shared" si="30"/>
        <v>1.0728395061728395</v>
      </c>
      <c r="E109" s="69">
        <f t="shared" si="30"/>
        <v>1.2549382716049382</v>
      </c>
      <c r="F109" s="69">
        <f t="shared" si="30"/>
        <v>1.4006172839506172</v>
      </c>
      <c r="G109" s="69">
        <f t="shared" si="30"/>
        <v>1.6191358024691356</v>
      </c>
      <c r="H109" s="69">
        <f t="shared" si="30"/>
        <v>1.6555555555555554</v>
      </c>
      <c r="I109" s="69">
        <f t="shared" si="30"/>
        <v>1.728395061728395</v>
      </c>
      <c r="J109" s="69">
        <f t="shared" si="30"/>
        <v>1.728395061728395</v>
      </c>
      <c r="K109" s="69">
        <f t="shared" si="30"/>
        <v>1.728395061728395</v>
      </c>
      <c r="L109" s="28">
        <f>+G109/C109</f>
        <v>1.6191358024691356</v>
      </c>
      <c r="M109" s="28">
        <f>+K109/C109</f>
        <v>1.728395061728395</v>
      </c>
    </row>
    <row r="110" spans="1:13" ht="12.75">
      <c r="A110" s="1"/>
      <c r="B110" s="1" t="s">
        <v>125</v>
      </c>
      <c r="C110" s="68">
        <f aca="true" t="shared" si="31" ref="C110:H110">+C108*C109</f>
        <v>10</v>
      </c>
      <c r="D110" s="68">
        <f t="shared" si="31"/>
        <v>9.038672839506173</v>
      </c>
      <c r="E110" s="68">
        <f t="shared" si="31"/>
        <v>8.031604938271604</v>
      </c>
      <c r="F110" s="68">
        <f t="shared" si="31"/>
        <v>7.073117283950617</v>
      </c>
      <c r="G110" s="68">
        <f t="shared" si="31"/>
        <v>5.990802469135801</v>
      </c>
      <c r="H110" s="68">
        <f t="shared" si="31"/>
        <v>5.3805555555555555</v>
      </c>
      <c r="I110" s="68">
        <f>+I108*I109</f>
        <v>4.8395061728395055</v>
      </c>
      <c r="J110" s="68">
        <f>+J108*J109</f>
        <v>4.148148148148149</v>
      </c>
      <c r="K110" s="68">
        <f>+K108*K109</f>
        <v>3.024691358024691</v>
      </c>
      <c r="L110" s="28">
        <f>+G110/C110</f>
        <v>0.5990802469135801</v>
      </c>
      <c r="M110" s="28">
        <f>+K110/C110</f>
        <v>0.3024691358024691</v>
      </c>
    </row>
    <row r="112" spans="1:13" ht="12.75">
      <c r="A112" s="1" t="s">
        <v>162</v>
      </c>
      <c r="B112" s="1" t="s">
        <v>28</v>
      </c>
      <c r="C112" s="66">
        <f>+(C56+C64+C72+C80+C88+C96)/6</f>
        <v>3.5446666666666666</v>
      </c>
      <c r="D112" s="66">
        <f aca="true" t="shared" si="32" ref="D112:H113">+(D56+D64+D72+D80+D88+D96)/6</f>
        <v>3.09935</v>
      </c>
      <c r="E112" s="66">
        <f t="shared" si="32"/>
        <v>2.5268</v>
      </c>
      <c r="F112" s="66">
        <f t="shared" si="32"/>
        <v>2.1451000000000002</v>
      </c>
      <c r="G112" s="66">
        <f t="shared" si="32"/>
        <v>1.7634</v>
      </c>
      <c r="H112" s="66">
        <f t="shared" si="32"/>
        <v>1.6361666666666668</v>
      </c>
      <c r="I112" s="66">
        <f aca="true" t="shared" si="33" ref="I112:K113">+(I56+I64+I72+I80+I88+I96)/6</f>
        <v>1.5089333333333332</v>
      </c>
      <c r="J112" s="66">
        <f t="shared" si="33"/>
        <v>1.5089333333333332</v>
      </c>
      <c r="K112" s="66">
        <f t="shared" si="33"/>
        <v>1.3817000000000002</v>
      </c>
      <c r="L112" s="28">
        <f aca="true" t="shared" si="34" ref="L112:M114">+H112/C112</f>
        <v>0.46158548053413584</v>
      </c>
      <c r="M112" s="28">
        <f t="shared" si="34"/>
        <v>0.48685477062394805</v>
      </c>
    </row>
    <row r="113" spans="1:13" ht="12.75">
      <c r="A113" s="1"/>
      <c r="B113" s="1" t="s">
        <v>48</v>
      </c>
      <c r="C113" s="66">
        <f>+(C57+C65+C73+C81+C89+C97)/6</f>
        <v>1</v>
      </c>
      <c r="D113" s="66">
        <f t="shared" si="32"/>
        <v>1.1360500888639464</v>
      </c>
      <c r="E113" s="66">
        <f t="shared" si="32"/>
        <v>1.4761753110238125</v>
      </c>
      <c r="F113" s="66">
        <f t="shared" si="32"/>
        <v>1.7482754887517054</v>
      </c>
      <c r="G113" s="66">
        <f t="shared" si="32"/>
        <v>2.1564257553435446</v>
      </c>
      <c r="H113" s="66">
        <f t="shared" si="32"/>
        <v>2.2244507997755174</v>
      </c>
      <c r="I113" s="66">
        <f t="shared" si="33"/>
        <v>2.3605008886394643</v>
      </c>
      <c r="J113" s="66">
        <f t="shared" si="33"/>
        <v>2.3605008886394643</v>
      </c>
      <c r="K113" s="66">
        <f t="shared" si="33"/>
        <v>2.3605008886394643</v>
      </c>
      <c r="L113" s="28">
        <f t="shared" si="34"/>
        <v>2.2244507997755174</v>
      </c>
      <c r="M113" s="28">
        <f t="shared" si="34"/>
        <v>2.0778140962076526</v>
      </c>
    </row>
    <row r="114" spans="1:13" ht="12.75">
      <c r="A114" s="1"/>
      <c r="B114" s="1" t="s">
        <v>125</v>
      </c>
      <c r="C114" s="68">
        <f aca="true" t="shared" si="35" ref="C114:H114">+C112*C113</f>
        <v>3.5446666666666666</v>
      </c>
      <c r="D114" s="68">
        <f t="shared" si="35"/>
        <v>3.521016842920472</v>
      </c>
      <c r="E114" s="68">
        <f t="shared" si="35"/>
        <v>3.7299997758949694</v>
      </c>
      <c r="F114" s="68">
        <f t="shared" si="35"/>
        <v>3.7502257509212837</v>
      </c>
      <c r="G114" s="68">
        <f t="shared" si="35"/>
        <v>3.8026411769728066</v>
      </c>
      <c r="H114" s="68">
        <f t="shared" si="35"/>
        <v>3.6395722502327095</v>
      </c>
      <c r="I114" s="68">
        <f>+I112*I113</f>
        <v>3.5618384742310423</v>
      </c>
      <c r="J114" s="68">
        <f>+J112*J113</f>
        <v>3.5618384742310423</v>
      </c>
      <c r="K114" s="68">
        <f>+K112*K113</f>
        <v>3.2615040778331483</v>
      </c>
      <c r="L114" s="28">
        <f t="shared" si="34"/>
        <v>1.026774191338925</v>
      </c>
      <c r="M114" s="28">
        <f t="shared" si="34"/>
        <v>1.0115937052083828</v>
      </c>
    </row>
    <row r="116" spans="1:13" ht="12.75">
      <c r="A116" s="1" t="s">
        <v>161</v>
      </c>
      <c r="B116" s="1" t="s">
        <v>28</v>
      </c>
      <c r="C116" s="66">
        <f aca="true" t="shared" si="36" ref="C116:H116">+(C60+C68+C76+C84+C92+C100)/6</f>
        <v>1.3333333333333333</v>
      </c>
      <c r="D116" s="66">
        <f t="shared" si="36"/>
        <v>1.2750000000000001</v>
      </c>
      <c r="E116" s="66">
        <f t="shared" si="36"/>
        <v>1.2000000000000002</v>
      </c>
      <c r="F116" s="66">
        <f t="shared" si="36"/>
        <v>1.15</v>
      </c>
      <c r="G116" s="66">
        <f t="shared" si="36"/>
        <v>1.1</v>
      </c>
      <c r="H116" s="66">
        <f t="shared" si="36"/>
        <v>1.0833333333333333</v>
      </c>
      <c r="I116" s="66">
        <f aca="true" t="shared" si="37" ref="I116:K117">+(I60+I68+I76+I84+I92+I100)/6</f>
        <v>1.0666666666666667</v>
      </c>
      <c r="J116" s="66">
        <f t="shared" si="37"/>
        <v>1.0666666666666667</v>
      </c>
      <c r="K116" s="66">
        <f t="shared" si="37"/>
        <v>1.05</v>
      </c>
      <c r="L116" s="28">
        <f aca="true" t="shared" si="38" ref="L116:M118">+H116/C116</f>
        <v>0.8125</v>
      </c>
      <c r="M116" s="28">
        <f t="shared" si="38"/>
        <v>0.8366013071895424</v>
      </c>
    </row>
    <row r="117" spans="1:13" ht="12.75">
      <c r="A117" s="1"/>
      <c r="B117" s="1" t="s">
        <v>48</v>
      </c>
      <c r="C117" s="66">
        <f aca="true" t="shared" si="39" ref="C117:H117">+(C61+C69+C77+C85+C93+C101)/6</f>
        <v>1</v>
      </c>
      <c r="D117" s="66">
        <f t="shared" si="39"/>
        <v>1.055039941902687</v>
      </c>
      <c r="E117" s="66">
        <f t="shared" si="39"/>
        <v>1.1926397966594044</v>
      </c>
      <c r="F117" s="66">
        <f t="shared" si="39"/>
        <v>1.3027196804647787</v>
      </c>
      <c r="G117" s="66">
        <f t="shared" si="39"/>
        <v>1.4678395061728395</v>
      </c>
      <c r="H117" s="66">
        <f t="shared" si="39"/>
        <v>1.4953594771241832</v>
      </c>
      <c r="I117" s="66">
        <f t="shared" si="37"/>
        <v>1.55039941902687</v>
      </c>
      <c r="J117" s="66">
        <f t="shared" si="37"/>
        <v>1.55039941902687</v>
      </c>
      <c r="K117" s="66">
        <f t="shared" si="37"/>
        <v>1.55039941902687</v>
      </c>
      <c r="L117" s="28">
        <f t="shared" si="38"/>
        <v>1.4953594771241832</v>
      </c>
      <c r="M117" s="28">
        <f t="shared" si="38"/>
        <v>1.469517273659648</v>
      </c>
    </row>
    <row r="118" spans="1:13" ht="12.75">
      <c r="A118" s="1"/>
      <c r="B118" s="1" t="s">
        <v>125</v>
      </c>
      <c r="C118" s="68">
        <f aca="true" t="shared" si="40" ref="C118:H118">+C116*C117</f>
        <v>1.3333333333333333</v>
      </c>
      <c r="D118" s="68">
        <f t="shared" si="40"/>
        <v>1.3451759259259262</v>
      </c>
      <c r="E118" s="68">
        <f t="shared" si="40"/>
        <v>1.4311677559912857</v>
      </c>
      <c r="F118" s="68">
        <f t="shared" si="40"/>
        <v>1.4981276325344954</v>
      </c>
      <c r="G118" s="68">
        <f t="shared" si="40"/>
        <v>1.6146234567901236</v>
      </c>
      <c r="H118" s="68">
        <f t="shared" si="40"/>
        <v>1.6199727668845316</v>
      </c>
      <c r="I118" s="68">
        <f>+I116*I117</f>
        <v>1.6537593802953279</v>
      </c>
      <c r="J118" s="68">
        <f>+J116*J117</f>
        <v>1.6537593802953279</v>
      </c>
      <c r="K118" s="68">
        <f>+K116*K117</f>
        <v>1.6279193899782136</v>
      </c>
      <c r="L118" s="28">
        <f t="shared" si="38"/>
        <v>1.2149795751633987</v>
      </c>
      <c r="M118" s="28">
        <f t="shared" si="38"/>
        <v>1.2294000720812739</v>
      </c>
    </row>
  </sheetData>
  <mergeCells count="15">
    <mergeCell ref="M3:M4"/>
    <mergeCell ref="G3:G4"/>
    <mergeCell ref="I3:I4"/>
    <mergeCell ref="J3:J4"/>
    <mergeCell ref="K3:K4"/>
    <mergeCell ref="M54:M55"/>
    <mergeCell ref="L3:L4"/>
    <mergeCell ref="L54:L55"/>
    <mergeCell ref="A3:A4"/>
    <mergeCell ref="B3:B4"/>
    <mergeCell ref="C3:C4"/>
    <mergeCell ref="D3:D4"/>
    <mergeCell ref="E3:E4"/>
    <mergeCell ref="F3:F4"/>
    <mergeCell ref="H3:H4"/>
  </mergeCells>
  <printOptions/>
  <pageMargins left="0.75" right="0.75" top="1" bottom="1" header="0.5" footer="0.5"/>
  <pageSetup fitToHeight="3" horizontalDpi="600" verticalDpi="600" orientation="portrait" scale="66" r:id="rId1"/>
  <rowBreaks count="2" manualBreakCount="2">
    <brk id="53" max="12" man="1"/>
    <brk id="118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K33"/>
  <sheetViews>
    <sheetView zoomScale="75" zoomScaleNormal="75" workbookViewId="0" topLeftCell="A1">
      <selection activeCell="R38" sqref="R38"/>
    </sheetView>
  </sheetViews>
  <sheetFormatPr defaultColWidth="9.140625" defaultRowHeight="12.75"/>
  <cols>
    <col min="1" max="1" width="13.421875" style="0" customWidth="1"/>
    <col min="2" max="2" width="17.421875" style="0" customWidth="1"/>
    <col min="6" max="6" width="10.7109375" style="0" customWidth="1"/>
    <col min="7" max="7" width="11.28125" style="0" customWidth="1"/>
    <col min="11" max="11" width="11.00390625" style="0" customWidth="1"/>
  </cols>
  <sheetData>
    <row r="1" ht="12.75">
      <c r="A1" t="s">
        <v>68</v>
      </c>
    </row>
    <row r="2" ht="12.75">
      <c r="D2" s="2"/>
    </row>
    <row r="3" spans="1:9" ht="12.75">
      <c r="A3" s="9" t="s">
        <v>17</v>
      </c>
      <c r="B3" s="19" t="s">
        <v>11</v>
      </c>
      <c r="C3" s="19" t="s">
        <v>55</v>
      </c>
      <c r="D3" s="135" t="s">
        <v>12</v>
      </c>
      <c r="E3" s="140"/>
      <c r="F3" s="136"/>
      <c r="G3" s="19" t="s">
        <v>35</v>
      </c>
      <c r="H3" s="9" t="s">
        <v>29</v>
      </c>
      <c r="I3" s="9" t="s">
        <v>39</v>
      </c>
    </row>
    <row r="4" spans="1:9" ht="12.75">
      <c r="A4" s="4"/>
      <c r="B4" s="4"/>
      <c r="C4" s="4" t="s">
        <v>30</v>
      </c>
      <c r="D4" s="18" t="s">
        <v>28</v>
      </c>
      <c r="E4" s="17" t="s">
        <v>54</v>
      </c>
      <c r="F4" s="6" t="s">
        <v>48</v>
      </c>
      <c r="G4" s="4" t="s">
        <v>56</v>
      </c>
      <c r="H4" s="4" t="s">
        <v>36</v>
      </c>
      <c r="I4" s="4" t="s">
        <v>36</v>
      </c>
    </row>
    <row r="5" spans="1:9" ht="12.75">
      <c r="A5" s="10"/>
      <c r="B5" s="4"/>
      <c r="C5" s="4"/>
      <c r="D5" s="18"/>
      <c r="E5" s="17" t="s">
        <v>40</v>
      </c>
      <c r="F5" s="6" t="s">
        <v>40</v>
      </c>
      <c r="G5" s="4"/>
      <c r="H5" s="6"/>
      <c r="I5" s="10"/>
    </row>
    <row r="6" spans="1:9" ht="12.75">
      <c r="A6" s="12" t="s">
        <v>18</v>
      </c>
      <c r="B6" s="15" t="s">
        <v>24</v>
      </c>
      <c r="C6" s="30">
        <f>+I9/G6</f>
        <v>1696.996343188699</v>
      </c>
      <c r="D6" s="27">
        <f>'Credit Values'!F56</f>
        <v>1.7560000000000002</v>
      </c>
      <c r="E6" s="27">
        <f>'Credit Values'!$H$30</f>
        <v>1</v>
      </c>
      <c r="F6" s="51">
        <f>'Credit Values'!F57</f>
        <v>1.2775700934579441</v>
      </c>
      <c r="G6" s="51">
        <f>+D6*E6*F6</f>
        <v>2.24341308411215</v>
      </c>
      <c r="H6" s="34">
        <f>+C6*G6</f>
        <v>3807.0638</v>
      </c>
      <c r="I6" s="30"/>
    </row>
    <row r="7" spans="1:9" ht="12.75">
      <c r="A7" s="14" t="s">
        <v>38</v>
      </c>
      <c r="B7" s="7" t="s">
        <v>42</v>
      </c>
      <c r="C7" s="31">
        <v>0</v>
      </c>
      <c r="D7" s="27">
        <f>'Credit Values'!$F$104</f>
        <v>1</v>
      </c>
      <c r="E7" s="27">
        <f>'Credit Values'!$H$31</f>
        <v>0.15</v>
      </c>
      <c r="F7" s="51">
        <f>'Credit Values'!$F$105</f>
        <v>1</v>
      </c>
      <c r="G7" s="51">
        <f>+D7*E7*F7</f>
        <v>0.15</v>
      </c>
      <c r="H7" s="34">
        <f>+C7*G7</f>
        <v>0</v>
      </c>
      <c r="I7" s="42"/>
    </row>
    <row r="8" spans="1:9" ht="12.75">
      <c r="A8" s="86">
        <f>Sales!J42</f>
        <v>190353.19</v>
      </c>
      <c r="B8" s="7" t="s">
        <v>27</v>
      </c>
      <c r="C8" s="31">
        <v>0</v>
      </c>
      <c r="D8" s="27">
        <f>'Credit Values'!F60</f>
        <v>1</v>
      </c>
      <c r="E8" s="27">
        <f>'Credit Values'!$H$30</f>
        <v>1</v>
      </c>
      <c r="F8" s="51">
        <f>'Credit Values'!F61</f>
        <v>1.1929193899782136</v>
      </c>
      <c r="G8" s="51">
        <f>+D8*E8*F8</f>
        <v>1.1929193899782136</v>
      </c>
      <c r="H8" s="34">
        <f>+C8*G8</f>
        <v>0</v>
      </c>
      <c r="I8" s="42"/>
    </row>
    <row r="9" spans="1:9" ht="12.75">
      <c r="A9" s="14"/>
      <c r="B9" s="16" t="s">
        <v>37</v>
      </c>
      <c r="C9" s="31">
        <f>+SUM(C6:C8)</f>
        <v>1696.996343188699</v>
      </c>
      <c r="D9" s="27"/>
      <c r="E9" s="27" t="s">
        <v>40</v>
      </c>
      <c r="F9" s="13"/>
      <c r="G9" s="51"/>
      <c r="H9" s="30">
        <f>+SUM(H6:H8)</f>
        <v>3807.0638</v>
      </c>
      <c r="I9" s="44">
        <f>+A8*0.02</f>
        <v>3807.0638</v>
      </c>
    </row>
    <row r="10" spans="1:9" ht="12.75">
      <c r="A10" s="9" t="s">
        <v>19</v>
      </c>
      <c r="B10" s="11" t="s">
        <v>34</v>
      </c>
      <c r="C10" s="32">
        <f>+I13/G10</f>
        <v>1900.0044971595537</v>
      </c>
      <c r="D10" s="28">
        <f>'Credit Values'!F64</f>
        <v>1.576</v>
      </c>
      <c r="E10" s="83">
        <f>'Credit Values'!$H$30</f>
        <v>1</v>
      </c>
      <c r="F10" s="52">
        <f>'Credit Values'!F65</f>
        <v>1.6626400000000001</v>
      </c>
      <c r="G10" s="82">
        <f>+D10*E10*F10</f>
        <v>2.62032064</v>
      </c>
      <c r="H10" s="36">
        <f>+C10*G10</f>
        <v>4978.621</v>
      </c>
      <c r="I10" s="37"/>
    </row>
    <row r="11" spans="1:9" ht="12.75">
      <c r="A11" s="10" t="s">
        <v>38</v>
      </c>
      <c r="B11" s="11" t="s">
        <v>42</v>
      </c>
      <c r="C11" s="32">
        <v>0</v>
      </c>
      <c r="D11" s="83">
        <f>'Credit Values'!$F$104</f>
        <v>1</v>
      </c>
      <c r="E11" s="83">
        <f>'Credit Values'!$H$31</f>
        <v>0.15</v>
      </c>
      <c r="F11" s="82">
        <f>'Credit Values'!$D$105</f>
        <v>1</v>
      </c>
      <c r="G11" s="82">
        <f>+D11*E11*F11</f>
        <v>0.15</v>
      </c>
      <c r="H11" s="38">
        <f>+C11*G11</f>
        <v>0</v>
      </c>
      <c r="I11" s="39"/>
    </row>
    <row r="12" spans="1:9" ht="12.75">
      <c r="A12" s="87">
        <f>Sales!J46</f>
        <v>248931.05</v>
      </c>
      <c r="B12" s="11" t="s">
        <v>57</v>
      </c>
      <c r="C12" s="32">
        <v>0</v>
      </c>
      <c r="D12" s="28">
        <f>'Credit Values'!F68</f>
        <v>1</v>
      </c>
      <c r="E12" s="83">
        <f>'Credit Values'!$H$30</f>
        <v>1</v>
      </c>
      <c r="F12" s="52">
        <f>'Credit Values'!F69</f>
        <v>1.1925199709513437</v>
      </c>
      <c r="G12" s="82">
        <f>+D12*E12*F12</f>
        <v>1.1925199709513437</v>
      </c>
      <c r="H12" s="38">
        <f>+C12*G12</f>
        <v>0</v>
      </c>
      <c r="I12" s="39"/>
    </row>
    <row r="13" spans="1:9" ht="12.75">
      <c r="A13" s="4"/>
      <c r="B13" s="11" t="s">
        <v>37</v>
      </c>
      <c r="C13" s="32">
        <f>+SUM(C10:C12)</f>
        <v>1900.0044971595537</v>
      </c>
      <c r="D13" s="28"/>
      <c r="E13" s="47" t="s">
        <v>40</v>
      </c>
      <c r="F13" s="43"/>
      <c r="G13" s="82"/>
      <c r="H13" s="40">
        <f>+SUM(H10:H12)</f>
        <v>4978.621</v>
      </c>
      <c r="I13" s="41">
        <f>+A12*0.02</f>
        <v>4978.621</v>
      </c>
    </row>
    <row r="14" spans="1:9" ht="12.75">
      <c r="A14" s="12" t="s">
        <v>20</v>
      </c>
      <c r="B14" s="7" t="s">
        <v>25</v>
      </c>
      <c r="C14" s="31">
        <f>+I17/G14</f>
        <v>1324.69773906228</v>
      </c>
      <c r="D14" s="27">
        <f>'Credit Values'!F72</f>
        <v>2.0998</v>
      </c>
      <c r="E14" s="27">
        <f>'Credit Values'!$H$30</f>
        <v>1</v>
      </c>
      <c r="F14" s="51">
        <f>'Credit Values'!F73</f>
        <v>1.9995860566448802</v>
      </c>
      <c r="G14" s="51">
        <f aca="true" t="shared" si="0" ref="G14:G20">+D14*E14*F14</f>
        <v>4.1987308017429195</v>
      </c>
      <c r="H14" s="34">
        <f>+C14*G14</f>
        <v>5562.0492</v>
      </c>
      <c r="I14" s="42"/>
    </row>
    <row r="15" spans="1:10" ht="12.75">
      <c r="A15" s="14" t="s">
        <v>38</v>
      </c>
      <c r="B15" s="15" t="s">
        <v>42</v>
      </c>
      <c r="C15" s="31">
        <v>0</v>
      </c>
      <c r="D15" s="27">
        <f>'Credit Values'!$F$104</f>
        <v>1</v>
      </c>
      <c r="E15" s="27">
        <f>'Credit Values'!$H$31</f>
        <v>0.15</v>
      </c>
      <c r="F15" s="51">
        <f>'Credit Values'!$F$105</f>
        <v>1</v>
      </c>
      <c r="G15" s="51">
        <f t="shared" si="0"/>
        <v>0.15</v>
      </c>
      <c r="H15" s="34">
        <f>+C15*G15</f>
        <v>0</v>
      </c>
      <c r="I15" s="42"/>
      <c r="J15" s="23"/>
    </row>
    <row r="16" spans="1:9" ht="12.75">
      <c r="A16" s="86">
        <f>Sales!J50</f>
        <v>278102.46</v>
      </c>
      <c r="B16" s="7" t="s">
        <v>27</v>
      </c>
      <c r="C16" s="31">
        <v>0</v>
      </c>
      <c r="D16" s="27">
        <f>'Credit Values'!F76</f>
        <v>1</v>
      </c>
      <c r="E16" s="27">
        <f>'Credit Values'!$H$30</f>
        <v>1</v>
      </c>
      <c r="F16" s="51">
        <f>'Credit Values'!F77</f>
        <v>1.1929193899782136</v>
      </c>
      <c r="G16" s="51">
        <f t="shared" si="0"/>
        <v>1.1929193899782136</v>
      </c>
      <c r="H16" s="34">
        <f>+C16*G16</f>
        <v>0</v>
      </c>
      <c r="I16" s="42"/>
    </row>
    <row r="17" spans="1:9" ht="12.75">
      <c r="A17" s="13"/>
      <c r="B17" s="7" t="s">
        <v>37</v>
      </c>
      <c r="C17" s="31">
        <f>+SUM(C14:C16)</f>
        <v>1324.69773906228</v>
      </c>
      <c r="D17" s="27"/>
      <c r="E17" s="27"/>
      <c r="F17" s="13"/>
      <c r="G17" s="51">
        <f t="shared" si="0"/>
        <v>0</v>
      </c>
      <c r="H17" s="30">
        <f>+SUM(H14:H16)</f>
        <v>5562.0492</v>
      </c>
      <c r="I17" s="42">
        <f>+A16*0.02</f>
        <v>5562.0492</v>
      </c>
    </row>
    <row r="18" spans="1:9" ht="12.75">
      <c r="A18" s="9" t="s">
        <v>21</v>
      </c>
      <c r="B18" s="11" t="s">
        <v>26</v>
      </c>
      <c r="C18" s="32">
        <f>+I21/G18</f>
        <v>1190.1925768404678</v>
      </c>
      <c r="D18" s="28">
        <f>'Credit Values'!F80</f>
        <v>2.3536</v>
      </c>
      <c r="E18" s="83">
        <f>'Credit Values'!$H$30</f>
        <v>1</v>
      </c>
      <c r="F18" s="52">
        <f>'Credit Values'!F81</f>
        <v>1.5724074074074075</v>
      </c>
      <c r="G18" s="82">
        <f t="shared" si="0"/>
        <v>3.7008180740740744</v>
      </c>
      <c r="H18" s="36">
        <f>+C18*G18</f>
        <v>4404.6862</v>
      </c>
      <c r="I18" s="37"/>
    </row>
    <row r="19" spans="1:9" ht="12.75">
      <c r="A19" s="10" t="s">
        <v>38</v>
      </c>
      <c r="B19" s="11" t="s">
        <v>42</v>
      </c>
      <c r="C19" s="32">
        <v>0</v>
      </c>
      <c r="D19" s="83">
        <f>'Credit Values'!$F$104</f>
        <v>1</v>
      </c>
      <c r="E19" s="83">
        <f>'Credit Values'!$H$31</f>
        <v>0.15</v>
      </c>
      <c r="F19" s="82">
        <f>'Credit Values'!$F$105</f>
        <v>1</v>
      </c>
      <c r="G19" s="82">
        <f t="shared" si="0"/>
        <v>0.15</v>
      </c>
      <c r="H19" s="38">
        <f>+C19*G19</f>
        <v>0</v>
      </c>
      <c r="I19" s="39"/>
    </row>
    <row r="20" spans="1:9" ht="12.75">
      <c r="A20" s="87">
        <f>Sales!J54</f>
        <v>220234.31</v>
      </c>
      <c r="B20" s="11" t="s">
        <v>58</v>
      </c>
      <c r="C20" s="32">
        <v>0</v>
      </c>
      <c r="D20" s="28">
        <f>'Credit Values'!F84</f>
        <v>1.54</v>
      </c>
      <c r="E20" s="83">
        <f>'Credit Values'!$H$30</f>
        <v>1</v>
      </c>
      <c r="F20" s="52">
        <f>'Credit Values'!F85</f>
        <v>1.2488380537400148</v>
      </c>
      <c r="G20" s="82">
        <f t="shared" si="0"/>
        <v>1.9232106027596227</v>
      </c>
      <c r="H20" s="38">
        <f>+C20*G20</f>
        <v>0</v>
      </c>
      <c r="I20" s="39"/>
    </row>
    <row r="21" spans="1:9" ht="12.75">
      <c r="A21" s="10"/>
      <c r="B21" s="11" t="s">
        <v>37</v>
      </c>
      <c r="C21" s="32">
        <f>+SUM(C18:C20)</f>
        <v>1190.1925768404678</v>
      </c>
      <c r="D21" s="28"/>
      <c r="E21" s="47" t="s">
        <v>40</v>
      </c>
      <c r="F21" s="43"/>
      <c r="G21" s="82"/>
      <c r="H21" s="40">
        <f>+SUM(H18:H20)</f>
        <v>4404.6862</v>
      </c>
      <c r="I21" s="41">
        <f>+A20*0.02</f>
        <v>4404.6862</v>
      </c>
    </row>
    <row r="22" spans="1:9" ht="12.75">
      <c r="A22" s="12" t="s">
        <v>22</v>
      </c>
      <c r="B22" s="16" t="s">
        <v>6</v>
      </c>
      <c r="C22" s="31">
        <f>+I25/G22</f>
        <v>258.9494006225529</v>
      </c>
      <c r="D22" s="27">
        <f>'Credit Values'!F88</f>
        <v>2.422</v>
      </c>
      <c r="E22" s="27">
        <f>'Credit Values'!$H$30</f>
        <v>1</v>
      </c>
      <c r="F22" s="51">
        <f>'Credit Values'!F89</f>
        <v>2.022942708333333</v>
      </c>
      <c r="G22" s="51">
        <f>+D22*E22*F22</f>
        <v>4.899567239583333</v>
      </c>
      <c r="H22" s="34">
        <f>+C22*G22</f>
        <v>1268.74</v>
      </c>
      <c r="I22" s="42"/>
    </row>
    <row r="23" spans="1:9" ht="12.75">
      <c r="A23" s="14" t="s">
        <v>38</v>
      </c>
      <c r="B23" s="16" t="s">
        <v>42</v>
      </c>
      <c r="C23" s="31">
        <v>0</v>
      </c>
      <c r="D23" s="27">
        <f>'Credit Values'!$F$104</f>
        <v>1</v>
      </c>
      <c r="E23" s="27">
        <f>'Credit Values'!$H$31</f>
        <v>0.15</v>
      </c>
      <c r="F23" s="51">
        <f>'Credit Values'!$F$105</f>
        <v>1</v>
      </c>
      <c r="G23" s="51">
        <f>+D23*E23*F23</f>
        <v>0.15</v>
      </c>
      <c r="H23" s="34">
        <f>+C23*G23</f>
        <v>0</v>
      </c>
      <c r="I23" s="42"/>
    </row>
    <row r="24" spans="1:9" ht="12.75">
      <c r="A24" s="86">
        <f>Sales!J58</f>
        <v>63437</v>
      </c>
      <c r="B24" s="7" t="s">
        <v>59</v>
      </c>
      <c r="C24" s="30">
        <v>0</v>
      </c>
      <c r="D24" s="27">
        <f>'Credit Values'!F92</f>
        <v>1.18</v>
      </c>
      <c r="E24" s="27">
        <f>'Credit Values'!$H$30</f>
        <v>1</v>
      </c>
      <c r="F24" s="51">
        <f>'Credit Values'!F93</f>
        <v>1.5214015976761077</v>
      </c>
      <c r="G24" s="51">
        <f>+D24*E24*F24</f>
        <v>1.795253885257807</v>
      </c>
      <c r="H24" s="34">
        <f>+C24*G24</f>
        <v>0</v>
      </c>
      <c r="I24" s="42"/>
    </row>
    <row r="25" spans="1:9" ht="12.75">
      <c r="A25" s="14"/>
      <c r="B25" s="15" t="s">
        <v>37</v>
      </c>
      <c r="C25" s="30">
        <f>+SUM(C22:C24)</f>
        <v>258.9494006225529</v>
      </c>
      <c r="D25" s="27"/>
      <c r="E25" s="27" t="s">
        <v>40</v>
      </c>
      <c r="F25" s="13"/>
      <c r="G25" s="51"/>
      <c r="H25" s="30">
        <f>+SUM(H22:H24)</f>
        <v>1268.74</v>
      </c>
      <c r="I25" s="42">
        <f>+A24*0.02</f>
        <v>1268.74</v>
      </c>
    </row>
    <row r="26" spans="1:9" ht="12.75">
      <c r="A26" s="9" t="s">
        <v>23</v>
      </c>
      <c r="B26" s="11" t="s">
        <v>7</v>
      </c>
      <c r="C26" s="32">
        <f>+I29/G26</f>
        <v>989.2631403100887</v>
      </c>
      <c r="D26" s="28">
        <f>'Credit Values'!F96</f>
        <v>2.6632000000000002</v>
      </c>
      <c r="E26" s="83">
        <f>'Credit Values'!$H$30</f>
        <v>1</v>
      </c>
      <c r="F26" s="47">
        <f>'Credit Values'!F97</f>
        <v>1.9545066666666666</v>
      </c>
      <c r="G26" s="82">
        <f>+D26*E26*F26</f>
        <v>5.205242154666667</v>
      </c>
      <c r="H26" s="36">
        <f>+C26*G26</f>
        <v>5149.3542</v>
      </c>
      <c r="I26" s="37"/>
    </row>
    <row r="27" spans="1:9" ht="12.75">
      <c r="A27" s="10" t="s">
        <v>38</v>
      </c>
      <c r="B27" s="2" t="s">
        <v>42</v>
      </c>
      <c r="C27" s="32">
        <v>0</v>
      </c>
      <c r="D27" s="83">
        <f>'Credit Values'!$F$104</f>
        <v>1</v>
      </c>
      <c r="E27" s="83">
        <f>'Credit Values'!$H$31</f>
        <v>0.15</v>
      </c>
      <c r="F27" s="82">
        <f>'Credit Values'!$F$105</f>
        <v>1</v>
      </c>
      <c r="G27" s="82">
        <f>+D27*E27*F27</f>
        <v>0.15</v>
      </c>
      <c r="H27" s="38">
        <f>+C27*G27</f>
        <v>0</v>
      </c>
      <c r="I27" s="39"/>
    </row>
    <row r="28" spans="1:9" ht="12.75">
      <c r="A28" s="87">
        <f>Sales!J62</f>
        <v>257467.71</v>
      </c>
      <c r="B28" s="11" t="s">
        <v>60</v>
      </c>
      <c r="C28" s="32">
        <v>0</v>
      </c>
      <c r="D28" s="28">
        <f>'Credit Values'!F100</f>
        <v>1.18</v>
      </c>
      <c r="E28" s="83">
        <f>'Credit Values'!$H$30</f>
        <v>1</v>
      </c>
      <c r="F28" s="52">
        <f>'Credit Values'!F101</f>
        <v>1.4677196804647785</v>
      </c>
      <c r="G28" s="82">
        <f>+D28*E28*F28</f>
        <v>1.7319092229484385</v>
      </c>
      <c r="H28" s="38">
        <f>+C28*G28</f>
        <v>0</v>
      </c>
      <c r="I28" s="39"/>
    </row>
    <row r="29" spans="1:11" ht="12.75">
      <c r="A29" s="4"/>
      <c r="B29" s="1" t="s">
        <v>37</v>
      </c>
      <c r="C29" s="32">
        <f>+SUM(C26:C28)</f>
        <v>989.2631403100887</v>
      </c>
      <c r="D29" s="28"/>
      <c r="E29" s="29" t="s">
        <v>40</v>
      </c>
      <c r="F29" s="43"/>
      <c r="G29" s="52"/>
      <c r="H29" s="40">
        <f>+SUM(H26:H28)</f>
        <v>5149.3542</v>
      </c>
      <c r="I29" s="41">
        <f>+A28*0.02</f>
        <v>5149.3542</v>
      </c>
      <c r="J29" s="105" t="s">
        <v>178</v>
      </c>
      <c r="K29" s="105" t="s">
        <v>47</v>
      </c>
    </row>
    <row r="30" spans="7:11" ht="12.75">
      <c r="G30" s="85"/>
      <c r="H30" s="33"/>
      <c r="I30" s="22"/>
      <c r="J30" s="105" t="s">
        <v>12</v>
      </c>
      <c r="K30" s="105" t="s">
        <v>179</v>
      </c>
    </row>
    <row r="31" spans="1:11" ht="12.75">
      <c r="A31" s="88">
        <f>+A28+A24+A20+A16+A12+A8</f>
        <v>1258525.72</v>
      </c>
      <c r="B31" s="7" t="s">
        <v>35</v>
      </c>
      <c r="C31" s="26">
        <f>+C29+C25+C21+C17+C13+C9</f>
        <v>7360.103697183642</v>
      </c>
      <c r="D31" s="25"/>
      <c r="E31" s="25"/>
      <c r="F31" s="25"/>
      <c r="G31" s="84"/>
      <c r="H31" s="26">
        <f>+H29+H25+H21+H17+H13+H9</f>
        <v>25170.5144</v>
      </c>
      <c r="I31" s="26">
        <f>+I29+I25+I21+I17+I13+I9</f>
        <v>25170.5144</v>
      </c>
      <c r="J31" s="106">
        <f>I31/C31</f>
        <v>3.4198586644413105</v>
      </c>
      <c r="K31" s="107">
        <f>'Fleet totals'!F9/J31</f>
        <v>0.0058481948999688635</v>
      </c>
    </row>
    <row r="32" ht="12.75">
      <c r="G32" s="85"/>
    </row>
    <row r="33" spans="1:9" ht="12.75">
      <c r="A33" s="7" t="s">
        <v>126</v>
      </c>
      <c r="B33" s="7"/>
      <c r="C33" s="31">
        <f>+I33/G33</f>
        <v>3558.616857253817</v>
      </c>
      <c r="D33" s="27">
        <f>'Credit Values'!F108</f>
        <v>5.05</v>
      </c>
      <c r="E33" s="27">
        <f>'Credit Values'!$H$30</f>
        <v>1</v>
      </c>
      <c r="F33" s="84">
        <f>'Credit Values'!F109</f>
        <v>1.4006172839506172</v>
      </c>
      <c r="G33" s="27">
        <f>+D33*E33*F33</f>
        <v>7.073117283950617</v>
      </c>
      <c r="H33" s="31">
        <f>+C33*G33</f>
        <v>25170.5144</v>
      </c>
      <c r="I33" s="26">
        <f>+I31+I27+I23+I19+I15+I11</f>
        <v>25170.5144</v>
      </c>
    </row>
  </sheetData>
  <mergeCells count="1">
    <mergeCell ref="D3:F3"/>
  </mergeCells>
  <printOptions/>
  <pageMargins left="0.75" right="0.75" top="1" bottom="1" header="0.5" footer="0.5"/>
  <pageSetup fitToHeight="1" fitToWidth="1" horizontalDpi="600" verticalDpi="600" orientation="landscape" r:id="rId4"/>
  <headerFooter alignWithMargins="0">
    <oddHeader>&amp;C&amp;"Arial,Bold"&amp;20Includes Intermediate Manufacturers</oddHead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K33"/>
  <sheetViews>
    <sheetView zoomScale="75" zoomScaleNormal="75" workbookViewId="0" topLeftCell="A1">
      <selection activeCell="R38" sqref="R38"/>
    </sheetView>
  </sheetViews>
  <sheetFormatPr defaultColWidth="9.140625" defaultRowHeight="12.75"/>
  <cols>
    <col min="1" max="1" width="13.421875" style="0" customWidth="1"/>
    <col min="2" max="2" width="17.421875" style="0" customWidth="1"/>
    <col min="6" max="6" width="10.7109375" style="0" customWidth="1"/>
    <col min="7" max="7" width="11.28125" style="0" customWidth="1"/>
    <col min="11" max="11" width="12.00390625" style="0" customWidth="1"/>
  </cols>
  <sheetData>
    <row r="1" ht="12.75">
      <c r="A1" t="s">
        <v>80</v>
      </c>
    </row>
    <row r="2" ht="12.75">
      <c r="D2" s="2"/>
    </row>
    <row r="3" spans="1:9" ht="12.75">
      <c r="A3" s="9" t="s">
        <v>17</v>
      </c>
      <c r="B3" s="19" t="s">
        <v>11</v>
      </c>
      <c r="C3" s="19" t="s">
        <v>55</v>
      </c>
      <c r="D3" s="135" t="s">
        <v>12</v>
      </c>
      <c r="E3" s="140"/>
      <c r="F3" s="136"/>
      <c r="G3" s="19" t="s">
        <v>35</v>
      </c>
      <c r="H3" s="9" t="s">
        <v>29</v>
      </c>
      <c r="I3" s="9" t="s">
        <v>39</v>
      </c>
    </row>
    <row r="4" spans="1:9" ht="12.75">
      <c r="A4" s="4"/>
      <c r="B4" s="4"/>
      <c r="C4" s="4" t="s">
        <v>30</v>
      </c>
      <c r="D4" s="18" t="s">
        <v>28</v>
      </c>
      <c r="E4" s="17" t="s">
        <v>54</v>
      </c>
      <c r="F4" s="6" t="s">
        <v>48</v>
      </c>
      <c r="G4" s="4" t="s">
        <v>56</v>
      </c>
      <c r="H4" s="4" t="s">
        <v>36</v>
      </c>
      <c r="I4" s="4" t="s">
        <v>36</v>
      </c>
    </row>
    <row r="5" spans="1:9" ht="12.75">
      <c r="A5" s="10"/>
      <c r="B5" s="4"/>
      <c r="C5" s="4"/>
      <c r="D5" s="18"/>
      <c r="E5" s="17" t="s">
        <v>40</v>
      </c>
      <c r="F5" s="6" t="s">
        <v>40</v>
      </c>
      <c r="G5" s="4"/>
      <c r="H5" s="6"/>
      <c r="I5" s="10"/>
    </row>
    <row r="6" spans="1:9" ht="12.75">
      <c r="A6" s="12" t="s">
        <v>18</v>
      </c>
      <c r="B6" s="15" t="s">
        <v>24</v>
      </c>
      <c r="C6" s="30">
        <f>+I9/G6</f>
        <v>2022.6412287964595</v>
      </c>
      <c r="D6" s="27">
        <f>'Credit Values'!G56</f>
        <v>1.504</v>
      </c>
      <c r="E6" s="27">
        <f>'Credit Values'!$I$30</f>
        <v>1</v>
      </c>
      <c r="F6" s="51">
        <f>'Credit Values'!G57</f>
        <v>1.4289719626168227</v>
      </c>
      <c r="G6" s="51">
        <f>+D6*E6*F6</f>
        <v>2.1491738317757014</v>
      </c>
      <c r="H6" s="34">
        <f>+C6*G6</f>
        <v>4347.0076</v>
      </c>
      <c r="I6" s="30"/>
    </row>
    <row r="7" spans="1:9" ht="12.75">
      <c r="A7" s="14" t="s">
        <v>38</v>
      </c>
      <c r="B7" s="7" t="s">
        <v>42</v>
      </c>
      <c r="C7" s="31">
        <v>0</v>
      </c>
      <c r="D7" s="27">
        <f>'Credit Values'!$G$104</f>
        <v>1</v>
      </c>
      <c r="E7" s="27">
        <f>'Credit Values'!$I$31</f>
        <v>0.15</v>
      </c>
      <c r="F7" s="51">
        <f>'Credit Values'!$G$105</f>
        <v>1</v>
      </c>
      <c r="G7" s="51">
        <f>+D7*E7*F7</f>
        <v>0.15</v>
      </c>
      <c r="H7" s="34">
        <f>+C7*G7</f>
        <v>0</v>
      </c>
      <c r="I7" s="42"/>
    </row>
    <row r="8" spans="1:9" ht="12.75">
      <c r="A8" s="86">
        <f>Sales!K42</f>
        <v>217350.38</v>
      </c>
      <c r="B8" s="7" t="s">
        <v>27</v>
      </c>
      <c r="C8" s="31">
        <v>0</v>
      </c>
      <c r="D8" s="27">
        <f>'Credit Values'!G60</f>
        <v>1</v>
      </c>
      <c r="E8" s="27">
        <f>'Credit Values'!$I$30</f>
        <v>1</v>
      </c>
      <c r="F8" s="51">
        <f>'Credit Values'!G61</f>
        <v>1.2981481481481483</v>
      </c>
      <c r="G8" s="51">
        <f>+D8*E8*F8</f>
        <v>1.2981481481481483</v>
      </c>
      <c r="H8" s="34">
        <f>+C8*G8</f>
        <v>0</v>
      </c>
      <c r="I8" s="42"/>
    </row>
    <row r="9" spans="1:9" ht="12.75">
      <c r="A9" s="14"/>
      <c r="B9" s="16" t="s">
        <v>37</v>
      </c>
      <c r="C9" s="31">
        <f>+SUM(C6:C8)</f>
        <v>2022.6412287964595</v>
      </c>
      <c r="D9" s="27"/>
      <c r="E9" s="27" t="s">
        <v>40</v>
      </c>
      <c r="F9" s="13"/>
      <c r="G9" s="51"/>
      <c r="H9" s="30">
        <f>+SUM(H6:H8)</f>
        <v>4347.0076</v>
      </c>
      <c r="I9" s="44">
        <f>+A8*0.02</f>
        <v>4347.0076</v>
      </c>
    </row>
    <row r="10" spans="1:9" ht="12.75">
      <c r="A10" s="9" t="s">
        <v>19</v>
      </c>
      <c r="B10" s="11" t="s">
        <v>34</v>
      </c>
      <c r="C10" s="32">
        <f>+I13/G10</f>
        <v>2032.9231714892576</v>
      </c>
      <c r="D10" s="28">
        <f>'Credit Values'!G64</f>
        <v>1.384</v>
      </c>
      <c r="E10" s="83">
        <f>'Credit Values'!$I$30</f>
        <v>1</v>
      </c>
      <c r="F10" s="52">
        <f>'Credit Values'!G65</f>
        <v>2.02408</v>
      </c>
      <c r="G10" s="82">
        <f>+D10*E10*F10</f>
        <v>2.80132672</v>
      </c>
      <c r="H10" s="36">
        <f>+C10*G10</f>
        <v>5694.882</v>
      </c>
      <c r="I10" s="37"/>
    </row>
    <row r="11" spans="1:9" ht="12.75">
      <c r="A11" s="10" t="s">
        <v>38</v>
      </c>
      <c r="B11" s="11" t="s">
        <v>42</v>
      </c>
      <c r="C11" s="32">
        <v>0</v>
      </c>
      <c r="D11" s="83">
        <f>'Credit Values'!$G$104</f>
        <v>1</v>
      </c>
      <c r="E11" s="83">
        <f>'Credit Values'!$I$31</f>
        <v>0.15</v>
      </c>
      <c r="F11" s="82">
        <f>'Credit Values'!$G$105</f>
        <v>1</v>
      </c>
      <c r="G11" s="82">
        <f>+D11*E11*F11</f>
        <v>0.15</v>
      </c>
      <c r="H11" s="38">
        <f>+C11*G11</f>
        <v>0</v>
      </c>
      <c r="I11" s="39"/>
    </row>
    <row r="12" spans="1:9" ht="12.75">
      <c r="A12" s="87">
        <f>Sales!K46</f>
        <v>284744.1</v>
      </c>
      <c r="B12" s="11" t="s">
        <v>57</v>
      </c>
      <c r="C12" s="32">
        <v>0</v>
      </c>
      <c r="D12" s="28">
        <f>'Credit Values'!G68</f>
        <v>1</v>
      </c>
      <c r="E12" s="83">
        <f>'Credit Values'!$I$30</f>
        <v>1</v>
      </c>
      <c r="F12" s="52">
        <f>'Credit Values'!G69</f>
        <v>1.297530864197531</v>
      </c>
      <c r="G12" s="82">
        <f>+D12*E12*F12</f>
        <v>1.297530864197531</v>
      </c>
      <c r="H12" s="38">
        <f>+C12*G12</f>
        <v>0</v>
      </c>
      <c r="I12" s="39"/>
    </row>
    <row r="13" spans="1:9" ht="12.75">
      <c r="A13" s="4"/>
      <c r="B13" s="11" t="s">
        <v>37</v>
      </c>
      <c r="C13" s="32">
        <f>+SUM(C10:C12)</f>
        <v>2032.9231714892576</v>
      </c>
      <c r="D13" s="28"/>
      <c r="E13" s="47" t="s">
        <v>40</v>
      </c>
      <c r="F13" s="43"/>
      <c r="G13" s="82"/>
      <c r="H13" s="40">
        <f>+SUM(H10:H12)</f>
        <v>5694.882</v>
      </c>
      <c r="I13" s="41">
        <f>+A12*0.02</f>
        <v>5694.882</v>
      </c>
    </row>
    <row r="14" spans="1:9" ht="12.75">
      <c r="A14" s="12" t="s">
        <v>20</v>
      </c>
      <c r="B14" s="7" t="s">
        <v>25</v>
      </c>
      <c r="C14" s="31">
        <f>+I17/G14</f>
        <v>1428.6568845812833</v>
      </c>
      <c r="D14" s="27">
        <f>'Credit Values'!G72</f>
        <v>1.7332</v>
      </c>
      <c r="E14" s="27">
        <f>'Credit Values'!$I$30</f>
        <v>1</v>
      </c>
      <c r="F14" s="51">
        <f>'Credit Values'!G73</f>
        <v>2.5448148148148144</v>
      </c>
      <c r="G14" s="51">
        <f aca="true" t="shared" si="0" ref="G14:G20">+D14*E14*F14</f>
        <v>4.410673037037037</v>
      </c>
      <c r="H14" s="34">
        <f>+C14*G14</f>
        <v>6301.3384</v>
      </c>
      <c r="I14" s="42"/>
    </row>
    <row r="15" spans="1:10" ht="12.75">
      <c r="A15" s="14" t="s">
        <v>38</v>
      </c>
      <c r="B15" s="15" t="s">
        <v>42</v>
      </c>
      <c r="C15" s="31">
        <v>0</v>
      </c>
      <c r="D15" s="27">
        <f>'Credit Values'!$G$104</f>
        <v>1</v>
      </c>
      <c r="E15" s="27">
        <f>'Credit Values'!$I$31</f>
        <v>0.15</v>
      </c>
      <c r="F15" s="51">
        <f>'Credit Values'!$G$105</f>
        <v>1</v>
      </c>
      <c r="G15" s="51">
        <f t="shared" si="0"/>
        <v>0.15</v>
      </c>
      <c r="H15" s="34">
        <f>+C15*G15</f>
        <v>0</v>
      </c>
      <c r="I15" s="42"/>
      <c r="J15" s="23"/>
    </row>
    <row r="16" spans="1:9" ht="12.75">
      <c r="A16" s="86">
        <f>Sales!K50</f>
        <v>315066.92</v>
      </c>
      <c r="B16" s="7" t="s">
        <v>27</v>
      </c>
      <c r="C16" s="31">
        <v>0</v>
      </c>
      <c r="D16" s="27">
        <f>'Credit Values'!G76</f>
        <v>1</v>
      </c>
      <c r="E16" s="27">
        <f>'Credit Values'!$I$30</f>
        <v>1</v>
      </c>
      <c r="F16" s="51">
        <f>'Credit Values'!G77</f>
        <v>1.2981481481481483</v>
      </c>
      <c r="G16" s="51">
        <f t="shared" si="0"/>
        <v>1.2981481481481483</v>
      </c>
      <c r="H16" s="34">
        <f>+C16*G16</f>
        <v>0</v>
      </c>
      <c r="I16" s="42"/>
    </row>
    <row r="17" spans="1:9" ht="12.75">
      <c r="A17" s="13"/>
      <c r="B17" s="7" t="s">
        <v>37</v>
      </c>
      <c r="C17" s="31">
        <f>+SUM(C14:C16)</f>
        <v>1428.6568845812833</v>
      </c>
      <c r="D17" s="27"/>
      <c r="E17" s="27"/>
      <c r="F17" s="13"/>
      <c r="G17" s="51">
        <f t="shared" si="0"/>
        <v>0</v>
      </c>
      <c r="H17" s="30">
        <f>+SUM(H14:H16)</f>
        <v>6301.3384</v>
      </c>
      <c r="I17" s="42">
        <f>+A16*0.02</f>
        <v>6301.3384</v>
      </c>
    </row>
    <row r="18" spans="1:9" ht="12.75">
      <c r="A18" s="9" t="s">
        <v>21</v>
      </c>
      <c r="B18" s="11" t="s">
        <v>26</v>
      </c>
      <c r="C18" s="32">
        <f>+I21/G18</f>
        <v>1248.489155736566</v>
      </c>
      <c r="D18" s="28">
        <f>'Credit Values'!G80</f>
        <v>1.9024</v>
      </c>
      <c r="E18" s="83">
        <f>'Credit Values'!$I$30</f>
        <v>1</v>
      </c>
      <c r="F18" s="52">
        <f>'Credit Values'!G81</f>
        <v>1.8846296296296297</v>
      </c>
      <c r="G18" s="82">
        <f t="shared" si="0"/>
        <v>3.5853194074074075</v>
      </c>
      <c r="H18" s="36">
        <f>+C18*G18</f>
        <v>4476.2324</v>
      </c>
      <c r="I18" s="37"/>
    </row>
    <row r="19" spans="1:9" ht="12.75">
      <c r="A19" s="10" t="s">
        <v>38</v>
      </c>
      <c r="B19" s="11" t="s">
        <v>42</v>
      </c>
      <c r="C19" s="32">
        <v>0</v>
      </c>
      <c r="D19" s="83">
        <f>'Credit Values'!$G$104</f>
        <v>1</v>
      </c>
      <c r="E19" s="83">
        <f>'Credit Values'!$I$31</f>
        <v>0.15</v>
      </c>
      <c r="F19" s="82">
        <f>'Credit Values'!$G$105</f>
        <v>1</v>
      </c>
      <c r="G19" s="82">
        <f t="shared" si="0"/>
        <v>0.15</v>
      </c>
      <c r="H19" s="38">
        <f>+C19*G19</f>
        <v>0</v>
      </c>
      <c r="I19" s="39"/>
    </row>
    <row r="20" spans="1:9" ht="12.75">
      <c r="A20" s="87">
        <f>Sales!K54</f>
        <v>223811.62</v>
      </c>
      <c r="B20" s="11" t="s">
        <v>58</v>
      </c>
      <c r="C20" s="32">
        <v>0</v>
      </c>
      <c r="D20" s="28">
        <f>'Credit Values'!G84</f>
        <v>1.36</v>
      </c>
      <c r="E20" s="83">
        <f>'Credit Values'!$I$30</f>
        <v>1</v>
      </c>
      <c r="F20" s="52">
        <f>'Credit Values'!G85</f>
        <v>1.384567901234568</v>
      </c>
      <c r="G20" s="82">
        <f t="shared" si="0"/>
        <v>1.8830123456790127</v>
      </c>
      <c r="H20" s="38">
        <f>+C20*G20</f>
        <v>0</v>
      </c>
      <c r="I20" s="39"/>
    </row>
    <row r="21" spans="1:9" ht="12.75">
      <c r="A21" s="10"/>
      <c r="B21" s="11" t="s">
        <v>37</v>
      </c>
      <c r="C21" s="32">
        <f>+SUM(C18:C20)</f>
        <v>1248.489155736566</v>
      </c>
      <c r="D21" s="28"/>
      <c r="E21" s="47" t="s">
        <v>40</v>
      </c>
      <c r="F21" s="43"/>
      <c r="G21" s="82"/>
      <c r="H21" s="40">
        <f>+SUM(H18:H20)</f>
        <v>4476.2324</v>
      </c>
      <c r="I21" s="41">
        <f>+A20*0.02</f>
        <v>4476.2324</v>
      </c>
    </row>
    <row r="22" spans="1:9" ht="12.75">
      <c r="A22" s="12" t="s">
        <v>22</v>
      </c>
      <c r="B22" s="16" t="s">
        <v>6</v>
      </c>
      <c r="C22" s="31">
        <f>+I25/G22</f>
        <v>276.36162595219673</v>
      </c>
      <c r="D22" s="27">
        <f>'Credit Values'!G88</f>
        <v>1.948</v>
      </c>
      <c r="E22" s="27">
        <f>'Credit Values'!$I$30</f>
        <v>1</v>
      </c>
      <c r="F22" s="51">
        <f>'Credit Values'!G89</f>
        <v>2.5809114583333326</v>
      </c>
      <c r="G22" s="51">
        <f>+D22*E22*F22</f>
        <v>5.027615520833332</v>
      </c>
      <c r="H22" s="34">
        <f>+C22*G22</f>
        <v>1389.44</v>
      </c>
      <c r="I22" s="42"/>
    </row>
    <row r="23" spans="1:9" ht="12.75">
      <c r="A23" s="14" t="s">
        <v>38</v>
      </c>
      <c r="B23" s="16" t="s">
        <v>42</v>
      </c>
      <c r="C23" s="31">
        <v>0</v>
      </c>
      <c r="D23" s="27">
        <f>'Credit Values'!$G$104</f>
        <v>1</v>
      </c>
      <c r="E23" s="27">
        <f>'Credit Values'!$I$31</f>
        <v>0.15</v>
      </c>
      <c r="F23" s="51">
        <f>'Credit Values'!$G$105</f>
        <v>1</v>
      </c>
      <c r="G23" s="51">
        <f>+D23*E23*F23</f>
        <v>0.15</v>
      </c>
      <c r="H23" s="34">
        <f>+C23*G23</f>
        <v>0</v>
      </c>
      <c r="I23" s="42"/>
    </row>
    <row r="24" spans="1:9" ht="12.75">
      <c r="A24" s="86">
        <f>Sales!K58</f>
        <v>69472</v>
      </c>
      <c r="B24" s="7" t="s">
        <v>59</v>
      </c>
      <c r="C24" s="30">
        <v>0</v>
      </c>
      <c r="D24" s="27">
        <f>'Credit Values'!G92</f>
        <v>1.1199999999999999</v>
      </c>
      <c r="E24" s="27">
        <f>'Credit Values'!$I$30</f>
        <v>1</v>
      </c>
      <c r="F24" s="51">
        <f>'Credit Values'!G93</f>
        <v>1.8058024691358026</v>
      </c>
      <c r="G24" s="51">
        <f>+D24*E24*F24</f>
        <v>2.0224987654320987</v>
      </c>
      <c r="H24" s="34">
        <f>+C24*G24</f>
        <v>0</v>
      </c>
      <c r="I24" s="42"/>
    </row>
    <row r="25" spans="1:9" ht="12.75">
      <c r="A25" s="14"/>
      <c r="B25" s="15" t="s">
        <v>37</v>
      </c>
      <c r="C25" s="30">
        <f>+SUM(C22:C24)</f>
        <v>276.36162595219673</v>
      </c>
      <c r="D25" s="27"/>
      <c r="E25" s="27" t="s">
        <v>40</v>
      </c>
      <c r="F25" s="13"/>
      <c r="G25" s="51"/>
      <c r="H25" s="30">
        <f>+SUM(H22:H24)</f>
        <v>1389.44</v>
      </c>
      <c r="I25" s="42">
        <f>+A24*0.02</f>
        <v>1389.44</v>
      </c>
    </row>
    <row r="26" spans="1:9" ht="12.75">
      <c r="A26" s="9" t="s">
        <v>23</v>
      </c>
      <c r="B26" s="11" t="s">
        <v>7</v>
      </c>
      <c r="C26" s="32">
        <f>+I29/G26</f>
        <v>1057.7170142240932</v>
      </c>
      <c r="D26" s="28">
        <f>'Credit Values'!G96</f>
        <v>2.1088000000000005</v>
      </c>
      <c r="E26" s="83">
        <f>'Credit Values'!$I$30</f>
        <v>1</v>
      </c>
      <c r="F26" s="47">
        <f>'Credit Values'!G97</f>
        <v>2.4751466666666664</v>
      </c>
      <c r="G26" s="82">
        <f>+D26*E26*F26</f>
        <v>5.219589290666667</v>
      </c>
      <c r="H26" s="36">
        <f>+C26*G26</f>
        <v>5520.848399999999</v>
      </c>
      <c r="I26" s="37"/>
    </row>
    <row r="27" spans="1:9" ht="12.75">
      <c r="A27" s="10" t="s">
        <v>38</v>
      </c>
      <c r="B27" s="2" t="s">
        <v>42</v>
      </c>
      <c r="C27" s="32">
        <v>0</v>
      </c>
      <c r="D27" s="83">
        <f>'Credit Values'!$G$104</f>
        <v>1</v>
      </c>
      <c r="E27" s="83">
        <f>'Credit Values'!$I$31</f>
        <v>0.15</v>
      </c>
      <c r="F27" s="82">
        <f>'Credit Values'!$G$105</f>
        <v>1</v>
      </c>
      <c r="G27" s="82">
        <f>+D27*E27*F27</f>
        <v>0.15</v>
      </c>
      <c r="H27" s="38">
        <f>+C27*G27</f>
        <v>0</v>
      </c>
      <c r="I27" s="39"/>
    </row>
    <row r="28" spans="1:9" ht="12.75">
      <c r="A28" s="87">
        <f>Sales!K62</f>
        <v>276042.42</v>
      </c>
      <c r="B28" s="11" t="s">
        <v>60</v>
      </c>
      <c r="C28" s="32">
        <v>0</v>
      </c>
      <c r="D28" s="28">
        <f>'Credit Values'!G100</f>
        <v>1.1199999999999999</v>
      </c>
      <c r="E28" s="83">
        <f>'Credit Values'!$I$30</f>
        <v>1</v>
      </c>
      <c r="F28" s="52">
        <f>'Credit Values'!G101</f>
        <v>1.7228395061728397</v>
      </c>
      <c r="G28" s="82">
        <f>+D28*E28*F28</f>
        <v>1.9295802469135803</v>
      </c>
      <c r="H28" s="38">
        <f>+C28*G28</f>
        <v>0</v>
      </c>
      <c r="I28" s="39"/>
    </row>
    <row r="29" spans="1:11" ht="12.75">
      <c r="A29" s="4"/>
      <c r="B29" s="1" t="s">
        <v>37</v>
      </c>
      <c r="C29" s="32">
        <f>+SUM(C26:C28)</f>
        <v>1057.7170142240932</v>
      </c>
      <c r="D29" s="28"/>
      <c r="E29" s="29" t="s">
        <v>40</v>
      </c>
      <c r="F29" s="43"/>
      <c r="G29" s="52"/>
      <c r="H29" s="40">
        <f>+SUM(H26:H28)</f>
        <v>5520.848399999999</v>
      </c>
      <c r="I29" s="41">
        <f>+A28*0.02</f>
        <v>5520.8484</v>
      </c>
      <c r="J29" s="105" t="s">
        <v>178</v>
      </c>
      <c r="K29" s="105" t="s">
        <v>47</v>
      </c>
    </row>
    <row r="30" spans="7:11" ht="12.75">
      <c r="G30" s="85"/>
      <c r="H30" s="33"/>
      <c r="I30" s="22"/>
      <c r="J30" s="105" t="s">
        <v>12</v>
      </c>
      <c r="K30" s="105" t="s">
        <v>179</v>
      </c>
    </row>
    <row r="31" spans="1:11" ht="12.75">
      <c r="A31" s="88">
        <f>+A28+A24+A20+A16+A12+A8</f>
        <v>1386487.44</v>
      </c>
      <c r="B31" s="7" t="s">
        <v>35</v>
      </c>
      <c r="C31" s="26">
        <f>+C29+C25+C21+C17+C13+C9</f>
        <v>8066.789080779857</v>
      </c>
      <c r="D31" s="25"/>
      <c r="E31" s="25"/>
      <c r="F31" s="25"/>
      <c r="G31" s="84"/>
      <c r="H31" s="26">
        <f>+H29+H25+H21+H17+H13+H9</f>
        <v>27729.748799999998</v>
      </c>
      <c r="I31" s="26">
        <f>+I29+I25+I21+I17+I13+I9</f>
        <v>27729.748799999998</v>
      </c>
      <c r="J31" s="106">
        <f>I31/C31</f>
        <v>3.437519999880699</v>
      </c>
      <c r="K31" s="107">
        <f>'Fleet totals'!F10/J31</f>
        <v>0.0058181479673410225</v>
      </c>
    </row>
    <row r="32" ht="12.75">
      <c r="G32" s="85"/>
    </row>
    <row r="33" spans="1:9" ht="12.75">
      <c r="A33" s="7" t="s">
        <v>126</v>
      </c>
      <c r="B33" s="7"/>
      <c r="C33" s="31">
        <f>+I33/G33</f>
        <v>4628.720266251766</v>
      </c>
      <c r="D33" s="27">
        <f>'Credit Values'!G108</f>
        <v>3.6999999999999997</v>
      </c>
      <c r="E33" s="27">
        <f>'Credit Values'!$I$30</f>
        <v>1</v>
      </c>
      <c r="F33" s="84">
        <f>'Credit Values'!G109</f>
        <v>1.6191358024691356</v>
      </c>
      <c r="G33" s="27">
        <f>+D33*E33*F33</f>
        <v>5.990802469135801</v>
      </c>
      <c r="H33" s="31">
        <f>+C33*G33</f>
        <v>27729.748799999998</v>
      </c>
      <c r="I33" s="26">
        <f>+I31+I27+I23+I19+I15+I11</f>
        <v>27729.748799999998</v>
      </c>
    </row>
  </sheetData>
  <mergeCells count="1">
    <mergeCell ref="D3:F3"/>
  </mergeCells>
  <printOptions/>
  <pageMargins left="0.75" right="0.75" top="1" bottom="1" header="0.5" footer="0.5"/>
  <pageSetup fitToHeight="1" fitToWidth="1" horizontalDpi="600" verticalDpi="600" orientation="landscape" r:id="rId4"/>
  <headerFooter alignWithMargins="0">
    <oddHeader>&amp;C&amp;"Arial,Bold"&amp;20Includes Intermediate Manufacturers</oddHead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33"/>
  <sheetViews>
    <sheetView zoomScale="75" zoomScaleNormal="75" workbookViewId="0" topLeftCell="A1">
      <selection activeCell="R38" sqref="R38"/>
    </sheetView>
  </sheetViews>
  <sheetFormatPr defaultColWidth="9.140625" defaultRowHeight="12.75"/>
  <cols>
    <col min="1" max="1" width="13.421875" style="0" customWidth="1"/>
    <col min="2" max="2" width="17.421875" style="0" customWidth="1"/>
    <col min="6" max="6" width="10.7109375" style="0" customWidth="1"/>
    <col min="7" max="7" width="11.28125" style="0" customWidth="1"/>
    <col min="11" max="11" width="12.00390625" style="0" customWidth="1"/>
  </cols>
  <sheetData>
    <row r="1" ht="12.75">
      <c r="A1" t="s">
        <v>139</v>
      </c>
    </row>
    <row r="2" ht="12.75">
      <c r="D2" s="2"/>
    </row>
    <row r="3" spans="1:9" ht="12.75">
      <c r="A3" s="9" t="s">
        <v>17</v>
      </c>
      <c r="B3" s="19" t="s">
        <v>11</v>
      </c>
      <c r="C3" s="19" t="s">
        <v>55</v>
      </c>
      <c r="D3" s="135" t="s">
        <v>12</v>
      </c>
      <c r="E3" s="140"/>
      <c r="F3" s="136"/>
      <c r="G3" s="19" t="s">
        <v>35</v>
      </c>
      <c r="H3" s="9" t="s">
        <v>29</v>
      </c>
      <c r="I3" s="9" t="s">
        <v>39</v>
      </c>
    </row>
    <row r="4" spans="1:9" ht="12.75">
      <c r="A4" s="4"/>
      <c r="B4" s="4"/>
      <c r="C4" s="4" t="s">
        <v>30</v>
      </c>
      <c r="D4" s="18" t="s">
        <v>28</v>
      </c>
      <c r="E4" s="17" t="s">
        <v>54</v>
      </c>
      <c r="F4" s="6" t="s">
        <v>48</v>
      </c>
      <c r="G4" s="4" t="s">
        <v>56</v>
      </c>
      <c r="H4" s="4" t="s">
        <v>36</v>
      </c>
      <c r="I4" s="4" t="s">
        <v>36</v>
      </c>
    </row>
    <row r="5" spans="1:9" ht="12.75">
      <c r="A5" s="10"/>
      <c r="B5" s="4"/>
      <c r="C5" s="4"/>
      <c r="D5" s="18"/>
      <c r="E5" s="17" t="s">
        <v>40</v>
      </c>
      <c r="F5" s="6" t="s">
        <v>40</v>
      </c>
      <c r="G5" s="4"/>
      <c r="H5" s="6"/>
      <c r="I5" s="10"/>
    </row>
    <row r="6" spans="1:9" ht="12.75">
      <c r="A6" s="12" t="s">
        <v>18</v>
      </c>
      <c r="B6" s="15" t="s">
        <v>24</v>
      </c>
      <c r="C6" s="30">
        <f>+I9/G6</f>
        <v>2958.2431919602445</v>
      </c>
      <c r="D6" s="27">
        <f>'Credit Values'!H56</f>
        <v>1.42</v>
      </c>
      <c r="E6" s="27">
        <f>'Credit Values'!$J$30</f>
        <v>1</v>
      </c>
      <c r="F6" s="51">
        <f>'Credit Values'!H57</f>
        <v>1.4542056074766359</v>
      </c>
      <c r="G6" s="51">
        <f>+D6*E6*F6</f>
        <v>2.0649719626168226</v>
      </c>
      <c r="H6" s="34">
        <f>+C6*G6</f>
        <v>6108.68925</v>
      </c>
      <c r="I6" s="30"/>
    </row>
    <row r="7" spans="1:9" ht="12.75">
      <c r="A7" s="14" t="s">
        <v>38</v>
      </c>
      <c r="B7" s="7" t="s">
        <v>42</v>
      </c>
      <c r="C7" s="31">
        <v>0</v>
      </c>
      <c r="D7" s="27">
        <f>'Credit Values'!$H$104</f>
        <v>1</v>
      </c>
      <c r="E7" s="27">
        <f>'Credit Values'!$J$31</f>
        <v>0.15</v>
      </c>
      <c r="F7" s="51">
        <f>'Credit Values'!$H$105</f>
        <v>1</v>
      </c>
      <c r="G7" s="51">
        <f>+D7*E7*F7</f>
        <v>0.15</v>
      </c>
      <c r="H7" s="34">
        <f>+C7*G7</f>
        <v>0</v>
      </c>
      <c r="I7" s="42"/>
    </row>
    <row r="8" spans="1:9" ht="12.75">
      <c r="A8" s="86">
        <f>Sales!M42</f>
        <v>244347.57</v>
      </c>
      <c r="B8" s="7" t="s">
        <v>27</v>
      </c>
      <c r="C8" s="31">
        <v>0</v>
      </c>
      <c r="D8" s="27">
        <f>'Credit Values'!H60</f>
        <v>1</v>
      </c>
      <c r="E8" s="27">
        <f>'Credit Values'!$J$30</f>
        <v>1</v>
      </c>
      <c r="F8" s="51">
        <f>'Credit Values'!H61</f>
        <v>1.3156862745098041</v>
      </c>
      <c r="G8" s="51">
        <f>+D8*E8*F8</f>
        <v>1.3156862745098041</v>
      </c>
      <c r="H8" s="34">
        <f>+C8*G8</f>
        <v>0</v>
      </c>
      <c r="I8" s="42"/>
    </row>
    <row r="9" spans="1:9" ht="12.75">
      <c r="A9" s="14"/>
      <c r="B9" s="16" t="s">
        <v>37</v>
      </c>
      <c r="C9" s="31">
        <f>+SUM(C6:C8)</f>
        <v>2958.2431919602445</v>
      </c>
      <c r="D9" s="27"/>
      <c r="E9" s="27" t="s">
        <v>40</v>
      </c>
      <c r="F9" s="13"/>
      <c r="G9" s="51"/>
      <c r="H9" s="30">
        <f>+SUM(H6:H8)</f>
        <v>6108.68925</v>
      </c>
      <c r="I9" s="44">
        <f>+A8*0.025</f>
        <v>6108.68925</v>
      </c>
    </row>
    <row r="10" spans="1:9" ht="12.75">
      <c r="A10" s="9" t="s">
        <v>19</v>
      </c>
      <c r="B10" s="11" t="s">
        <v>34</v>
      </c>
      <c r="C10" s="32">
        <f>+I13/G10</f>
        <v>2912.77641817926</v>
      </c>
      <c r="D10" s="28">
        <f>'Credit Values'!H64</f>
        <v>1.3199999999999998</v>
      </c>
      <c r="E10" s="83">
        <f>'Credit Values'!$J$30</f>
        <v>1</v>
      </c>
      <c r="F10" s="52">
        <f>'Credit Values'!H65</f>
        <v>2.08432</v>
      </c>
      <c r="G10" s="82">
        <f>+D10*E10*F10</f>
        <v>2.7513023999999997</v>
      </c>
      <c r="H10" s="36">
        <f>+C10*G10</f>
        <v>8013.928750000001</v>
      </c>
      <c r="I10" s="37"/>
    </row>
    <row r="11" spans="1:9" ht="12.75">
      <c r="A11" s="10" t="s">
        <v>38</v>
      </c>
      <c r="B11" s="11" t="s">
        <v>42</v>
      </c>
      <c r="C11" s="32">
        <v>0</v>
      </c>
      <c r="D11" s="83">
        <f>'Credit Values'!$H$104</f>
        <v>1</v>
      </c>
      <c r="E11" s="83">
        <f>'Credit Values'!$J$31</f>
        <v>0.15</v>
      </c>
      <c r="F11" s="82">
        <f>'Credit Values'!$H$105</f>
        <v>1</v>
      </c>
      <c r="G11" s="82">
        <f>+D11*E11*F11</f>
        <v>0.15</v>
      </c>
      <c r="H11" s="38">
        <f>+C11*G11</f>
        <v>0</v>
      </c>
      <c r="I11" s="39"/>
    </row>
    <row r="12" spans="1:9" ht="12.75">
      <c r="A12" s="87">
        <f>Sales!M46</f>
        <v>320557.15</v>
      </c>
      <c r="B12" s="11" t="s">
        <v>57</v>
      </c>
      <c r="C12" s="32">
        <v>0</v>
      </c>
      <c r="D12" s="28">
        <f>'Credit Values'!H68</f>
        <v>1</v>
      </c>
      <c r="E12" s="83">
        <f>'Credit Values'!$J$30</f>
        <v>1</v>
      </c>
      <c r="F12" s="52">
        <f>'Credit Values'!H69</f>
        <v>1.3150326797385623</v>
      </c>
      <c r="G12" s="82">
        <f>+D12*E12*F12</f>
        <v>1.3150326797385623</v>
      </c>
      <c r="H12" s="38">
        <f>+C12*G12</f>
        <v>0</v>
      </c>
      <c r="I12" s="39"/>
    </row>
    <row r="13" spans="1:9" ht="12.75">
      <c r="A13" s="4"/>
      <c r="B13" s="11" t="s">
        <v>37</v>
      </c>
      <c r="C13" s="32">
        <f>+SUM(C10:C12)</f>
        <v>2912.77641817926</v>
      </c>
      <c r="D13" s="28"/>
      <c r="E13" s="47" t="s">
        <v>40</v>
      </c>
      <c r="F13" s="43"/>
      <c r="G13" s="82"/>
      <c r="H13" s="40">
        <f>+SUM(H10:H12)</f>
        <v>8013.928750000001</v>
      </c>
      <c r="I13" s="41">
        <f>+A12*0.025</f>
        <v>8013.928750000001</v>
      </c>
    </row>
    <row r="14" spans="1:9" ht="12.75">
      <c r="A14" s="12" t="s">
        <v>20</v>
      </c>
      <c r="B14" s="7" t="s">
        <v>25</v>
      </c>
      <c r="C14" s="31">
        <f>+I17/G14</f>
        <v>2072.679401702937</v>
      </c>
      <c r="D14" s="27">
        <f>'Credit Values'!H72</f>
        <v>1.611</v>
      </c>
      <c r="E14" s="27">
        <f>'Credit Values'!$J$30</f>
        <v>1</v>
      </c>
      <c r="F14" s="51">
        <f>'Credit Values'!H73</f>
        <v>2.6356862745098035</v>
      </c>
      <c r="G14" s="51">
        <f aca="true" t="shared" si="0" ref="G14:G20">+D14*E14*F14</f>
        <v>4.246090588235293</v>
      </c>
      <c r="H14" s="34">
        <f>+C14*G14</f>
        <v>8800.7845</v>
      </c>
      <c r="I14" s="30"/>
    </row>
    <row r="15" spans="1:10" ht="12.75">
      <c r="A15" s="14" t="s">
        <v>38</v>
      </c>
      <c r="B15" s="15" t="s">
        <v>42</v>
      </c>
      <c r="C15" s="31">
        <v>0</v>
      </c>
      <c r="D15" s="27">
        <f>'Credit Values'!$H$104</f>
        <v>1</v>
      </c>
      <c r="E15" s="27">
        <f>'Credit Values'!$J$31</f>
        <v>0.15</v>
      </c>
      <c r="F15" s="51">
        <f>'Credit Values'!$H$105</f>
        <v>1</v>
      </c>
      <c r="G15" s="51">
        <f t="shared" si="0"/>
        <v>0.15</v>
      </c>
      <c r="H15" s="34">
        <f>+C15*G15</f>
        <v>0</v>
      </c>
      <c r="I15" s="42"/>
      <c r="J15" s="23"/>
    </row>
    <row r="16" spans="1:9" ht="12.75">
      <c r="A16" s="86">
        <f>Sales!M50</f>
        <v>352031.38</v>
      </c>
      <c r="B16" s="7" t="s">
        <v>27</v>
      </c>
      <c r="C16" s="31">
        <v>0</v>
      </c>
      <c r="D16" s="27">
        <f>'Credit Values'!H76</f>
        <v>1</v>
      </c>
      <c r="E16" s="27">
        <f>'Credit Values'!$J$30</f>
        <v>1</v>
      </c>
      <c r="F16" s="51">
        <f>'Credit Values'!H77</f>
        <v>1.3156862745098041</v>
      </c>
      <c r="G16" s="51">
        <f t="shared" si="0"/>
        <v>1.3156862745098041</v>
      </c>
      <c r="H16" s="34">
        <f>+C16*G16</f>
        <v>0</v>
      </c>
      <c r="I16" s="42"/>
    </row>
    <row r="17" spans="1:9" ht="12.75">
      <c r="A17" s="13"/>
      <c r="B17" s="7" t="s">
        <v>37</v>
      </c>
      <c r="C17" s="31">
        <f>+SUM(C14:C16)</f>
        <v>2072.679401702937</v>
      </c>
      <c r="D17" s="27"/>
      <c r="E17" s="27"/>
      <c r="F17" s="13"/>
      <c r="G17" s="51">
        <f t="shared" si="0"/>
        <v>0</v>
      </c>
      <c r="H17" s="30">
        <f>+SUM(H14:H16)</f>
        <v>8800.7845</v>
      </c>
      <c r="I17" s="44">
        <f>+A16*0.025</f>
        <v>8800.7845</v>
      </c>
    </row>
    <row r="18" spans="1:9" ht="12.75">
      <c r="A18" s="9" t="s">
        <v>21</v>
      </c>
      <c r="B18" s="11" t="s">
        <v>26</v>
      </c>
      <c r="C18" s="32">
        <f>+I21/G18</f>
        <v>1675.4070833235096</v>
      </c>
      <c r="D18" s="28">
        <f>'Credit Values'!H80</f>
        <v>1.752</v>
      </c>
      <c r="E18" s="83">
        <f>'Credit Values'!$J$30</f>
        <v>1</v>
      </c>
      <c r="F18" s="52">
        <f>'Credit Values'!H81</f>
        <v>1.9366666666666665</v>
      </c>
      <c r="G18" s="82">
        <f t="shared" si="0"/>
        <v>3.3930399999999996</v>
      </c>
      <c r="H18" s="36">
        <f>+C18*G18</f>
        <v>5684.72325</v>
      </c>
      <c r="I18" s="37"/>
    </row>
    <row r="19" spans="1:9" ht="12.75">
      <c r="A19" s="10" t="s">
        <v>38</v>
      </c>
      <c r="B19" s="11" t="s">
        <v>42</v>
      </c>
      <c r="C19" s="32">
        <v>0</v>
      </c>
      <c r="D19" s="83">
        <f>'Credit Values'!$H$104</f>
        <v>1</v>
      </c>
      <c r="E19" s="83">
        <f>'Credit Values'!$J$31</f>
        <v>0.15</v>
      </c>
      <c r="F19" s="82">
        <f>'Credit Values'!$H$105</f>
        <v>1</v>
      </c>
      <c r="G19" s="82">
        <f t="shared" si="0"/>
        <v>0.15</v>
      </c>
      <c r="H19" s="38">
        <f>+C19*G19</f>
        <v>0</v>
      </c>
      <c r="I19" s="39"/>
    </row>
    <row r="20" spans="1:9" ht="12.75">
      <c r="A20" s="87">
        <f>Sales!M54</f>
        <v>227388.93</v>
      </c>
      <c r="B20" s="11" t="s">
        <v>58</v>
      </c>
      <c r="C20" s="32">
        <v>0</v>
      </c>
      <c r="D20" s="28">
        <f>'Credit Values'!H84</f>
        <v>1.3</v>
      </c>
      <c r="E20" s="83">
        <f>'Credit Values'!$J$30</f>
        <v>1</v>
      </c>
      <c r="F20" s="52">
        <f>'Credit Values'!H85</f>
        <v>1.4071895424836602</v>
      </c>
      <c r="G20" s="82">
        <f t="shared" si="0"/>
        <v>1.8293464052287585</v>
      </c>
      <c r="H20" s="38">
        <f>+C20*G20</f>
        <v>0</v>
      </c>
      <c r="I20" s="39"/>
    </row>
    <row r="21" spans="1:9" ht="12.75">
      <c r="A21" s="10"/>
      <c r="B21" s="11" t="s">
        <v>37</v>
      </c>
      <c r="C21" s="32">
        <f>+SUM(C18:C20)</f>
        <v>1675.4070833235096</v>
      </c>
      <c r="D21" s="28"/>
      <c r="E21" s="47" t="s">
        <v>40</v>
      </c>
      <c r="F21" s="43"/>
      <c r="G21" s="82"/>
      <c r="H21" s="40">
        <f>+SUM(H18:H20)</f>
        <v>5684.72325</v>
      </c>
      <c r="I21" s="41">
        <f>+A20*0.025</f>
        <v>5684.72325</v>
      </c>
    </row>
    <row r="22" spans="1:9" ht="12.75">
      <c r="A22" s="12" t="s">
        <v>22</v>
      </c>
      <c r="B22" s="16" t="s">
        <v>6</v>
      </c>
      <c r="C22" s="31">
        <f>+I25/G22</f>
        <v>394.39192720617837</v>
      </c>
      <c r="D22" s="27">
        <f>'Credit Values'!H88</f>
        <v>1.79</v>
      </c>
      <c r="E22" s="27">
        <f>'Credit Values'!$J$30</f>
        <v>1</v>
      </c>
      <c r="F22" s="51">
        <f>'Credit Values'!H89</f>
        <v>2.67390625</v>
      </c>
      <c r="G22" s="51">
        <f>+D22*E22*F22</f>
        <v>4.7862921875</v>
      </c>
      <c r="H22" s="34">
        <f>+C22*G22</f>
        <v>1887.6750000000002</v>
      </c>
      <c r="I22" s="42"/>
    </row>
    <row r="23" spans="1:9" ht="12.75">
      <c r="A23" s="14" t="s">
        <v>38</v>
      </c>
      <c r="B23" s="16" t="s">
        <v>42</v>
      </c>
      <c r="C23" s="31">
        <v>0</v>
      </c>
      <c r="D23" s="27">
        <f>'Credit Values'!$H$104</f>
        <v>1</v>
      </c>
      <c r="E23" s="27">
        <f>'Credit Values'!$J$31</f>
        <v>0.15</v>
      </c>
      <c r="F23" s="51">
        <f>'Credit Values'!$H$105</f>
        <v>1</v>
      </c>
      <c r="G23" s="51">
        <f>+D23*E23*F23</f>
        <v>0.15</v>
      </c>
      <c r="H23" s="34">
        <f>+C23*G23</f>
        <v>0</v>
      </c>
      <c r="I23" s="42"/>
    </row>
    <row r="24" spans="1:9" ht="12.75">
      <c r="A24" s="86">
        <f>Sales!M58</f>
        <v>75507</v>
      </c>
      <c r="B24" s="7" t="s">
        <v>59</v>
      </c>
      <c r="C24" s="30">
        <v>0</v>
      </c>
      <c r="D24" s="27">
        <f>'Credit Values'!H92</f>
        <v>1.1</v>
      </c>
      <c r="E24" s="27">
        <f>'Credit Values'!$J$30</f>
        <v>1</v>
      </c>
      <c r="F24" s="51">
        <f>'Credit Values'!H93</f>
        <v>1.8532026143790852</v>
      </c>
      <c r="G24" s="51">
        <f>+D24*E24*F24</f>
        <v>2.038522875816994</v>
      </c>
      <c r="H24" s="34">
        <f>+C24*G24</f>
        <v>0</v>
      </c>
      <c r="I24" s="42"/>
    </row>
    <row r="25" spans="1:9" ht="12.75">
      <c r="A25" s="14"/>
      <c r="B25" s="15" t="s">
        <v>37</v>
      </c>
      <c r="C25" s="30">
        <f>+SUM(C22:C24)</f>
        <v>394.39192720617837</v>
      </c>
      <c r="D25" s="27"/>
      <c r="E25" s="27" t="s">
        <v>40</v>
      </c>
      <c r="F25" s="13"/>
      <c r="G25" s="51"/>
      <c r="H25" s="30">
        <f>+SUM(H22:H24)</f>
        <v>1887.6750000000002</v>
      </c>
      <c r="I25" s="42">
        <f>+A24*0.025</f>
        <v>1887.6750000000002</v>
      </c>
    </row>
    <row r="26" spans="1:9" ht="12.75">
      <c r="A26" s="9" t="s">
        <v>23</v>
      </c>
      <c r="B26" s="11" t="s">
        <v>7</v>
      </c>
      <c r="C26" s="32">
        <f>+I29/G26</f>
        <v>1494.2641304656904</v>
      </c>
      <c r="D26" s="28">
        <f>'Credit Values'!H96</f>
        <v>1.9240000000000002</v>
      </c>
      <c r="E26" s="83">
        <f>'Credit Values'!$J$30</f>
        <v>1</v>
      </c>
      <c r="F26" s="47">
        <f>'Credit Values'!H97</f>
        <v>2.5619199999999998</v>
      </c>
      <c r="G26" s="82">
        <f>+D26*E26*F26</f>
        <v>4.92913408</v>
      </c>
      <c r="H26" s="36">
        <f>+C26*G26</f>
        <v>7365.428250000001</v>
      </c>
      <c r="I26" s="37"/>
    </row>
    <row r="27" spans="1:9" ht="12.75">
      <c r="A27" s="10" t="s">
        <v>38</v>
      </c>
      <c r="B27" s="2" t="s">
        <v>42</v>
      </c>
      <c r="C27" s="32">
        <v>0</v>
      </c>
      <c r="D27" s="83">
        <f>'Credit Values'!$H$104</f>
        <v>1</v>
      </c>
      <c r="E27" s="83">
        <f>'Credit Values'!$J$31</f>
        <v>0.15</v>
      </c>
      <c r="F27" s="82">
        <f>'Credit Values'!$H$105</f>
        <v>1</v>
      </c>
      <c r="G27" s="82">
        <f>+D27*E27*F27</f>
        <v>0.15</v>
      </c>
      <c r="H27" s="38">
        <f>+C27*G27</f>
        <v>0</v>
      </c>
      <c r="I27" s="39"/>
    </row>
    <row r="28" spans="1:9" ht="12.75">
      <c r="A28" s="87">
        <f>Sales!M62</f>
        <v>294617.13</v>
      </c>
      <c r="B28" s="11" t="s">
        <v>60</v>
      </c>
      <c r="C28" s="32">
        <v>0</v>
      </c>
      <c r="D28" s="28">
        <f>'Credit Values'!H100</f>
        <v>1.1</v>
      </c>
      <c r="E28" s="83">
        <f>'Credit Values'!$J$30</f>
        <v>1</v>
      </c>
      <c r="F28" s="52">
        <f>'Credit Values'!H101</f>
        <v>1.7653594771241832</v>
      </c>
      <c r="G28" s="82">
        <f>+D28*E28*F28</f>
        <v>1.9418954248366016</v>
      </c>
      <c r="H28" s="38">
        <f>+C28*G28</f>
        <v>0</v>
      </c>
      <c r="I28" s="39"/>
    </row>
    <row r="29" spans="1:11" ht="12.75">
      <c r="A29" s="4"/>
      <c r="B29" s="1" t="s">
        <v>37</v>
      </c>
      <c r="C29" s="32">
        <f>+SUM(C26:C28)</f>
        <v>1494.2641304656904</v>
      </c>
      <c r="D29" s="28"/>
      <c r="E29" s="29" t="s">
        <v>40</v>
      </c>
      <c r="F29" s="43"/>
      <c r="G29" s="52"/>
      <c r="H29" s="40">
        <f>+SUM(H26:H28)</f>
        <v>7365.428250000001</v>
      </c>
      <c r="I29" s="41">
        <f>+A28*0.025</f>
        <v>7365.428250000001</v>
      </c>
      <c r="J29" s="105" t="s">
        <v>178</v>
      </c>
      <c r="K29" s="105" t="s">
        <v>47</v>
      </c>
    </row>
    <row r="30" spans="7:11" ht="12.75">
      <c r="G30" s="85"/>
      <c r="H30" s="33"/>
      <c r="I30" s="22"/>
      <c r="J30" s="105" t="s">
        <v>12</v>
      </c>
      <c r="K30" s="105" t="s">
        <v>179</v>
      </c>
    </row>
    <row r="31" spans="1:11" ht="12.75">
      <c r="A31" s="88">
        <f>+A28+A24+A20+A16+A12+A8</f>
        <v>1514449.1600000001</v>
      </c>
      <c r="B31" s="7" t="s">
        <v>35</v>
      </c>
      <c r="C31" s="26">
        <f>+C29+C25+C21+C17+C13+C9</f>
        <v>11507.76215283782</v>
      </c>
      <c r="D31" s="25"/>
      <c r="E31" s="25"/>
      <c r="F31" s="25"/>
      <c r="G31" s="84"/>
      <c r="H31" s="26">
        <f>+H29+H25+H21+H17+H13+H9</f>
        <v>37861.229</v>
      </c>
      <c r="I31" s="26">
        <f>+I29+I25+I21+I17+I13+I9</f>
        <v>37861.229</v>
      </c>
      <c r="J31" s="106">
        <f>I31/C31</f>
        <v>3.290060091367408</v>
      </c>
      <c r="K31" s="107">
        <f>'Fleet totals'!F11/J31</f>
        <v>0.007598645406385132</v>
      </c>
    </row>
    <row r="32" ht="12.75">
      <c r="G32" s="85"/>
    </row>
    <row r="33" spans="1:9" ht="12.75">
      <c r="A33" s="7" t="s">
        <v>126</v>
      </c>
      <c r="B33" s="7"/>
      <c r="C33" s="31">
        <f>+I33/G33</f>
        <v>7036.676530717605</v>
      </c>
      <c r="D33" s="27">
        <f>'Credit Values'!H108</f>
        <v>3.25</v>
      </c>
      <c r="E33" s="27">
        <f>'Credit Values'!$J$30</f>
        <v>1</v>
      </c>
      <c r="F33" s="84">
        <f>'Credit Values'!H109</f>
        <v>1.6555555555555554</v>
      </c>
      <c r="G33" s="27">
        <f>+D33*E33*F33</f>
        <v>5.3805555555555555</v>
      </c>
      <c r="H33" s="31">
        <f>+C33*G33</f>
        <v>37861.229</v>
      </c>
      <c r="I33" s="26">
        <f>+I31+I27+I23+I19+I15+I11</f>
        <v>37861.229</v>
      </c>
    </row>
  </sheetData>
  <mergeCells count="1">
    <mergeCell ref="D3:F3"/>
  </mergeCells>
  <printOptions/>
  <pageMargins left="0.75" right="0.75" top="1" bottom="1" header="0.5" footer="0.5"/>
  <pageSetup fitToHeight="1" fitToWidth="1" horizontalDpi="600" verticalDpi="600" orientation="landscape" r:id="rId4"/>
  <headerFooter alignWithMargins="0">
    <oddHeader>&amp;C&amp;"Arial,Bold"&amp;20Includes Intermediate Manufacturers</oddHead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33"/>
  <sheetViews>
    <sheetView zoomScale="75" zoomScaleNormal="75" workbookViewId="0" topLeftCell="B2">
      <selection activeCell="R38" sqref="R38"/>
    </sheetView>
  </sheetViews>
  <sheetFormatPr defaultColWidth="9.140625" defaultRowHeight="12.75"/>
  <cols>
    <col min="1" max="1" width="13.421875" style="0" customWidth="1"/>
    <col min="2" max="2" width="17.421875" style="0" customWidth="1"/>
    <col min="6" max="6" width="10.7109375" style="0" customWidth="1"/>
    <col min="7" max="7" width="11.28125" style="0" customWidth="1"/>
    <col min="11" max="11" width="12.140625" style="0" customWidth="1"/>
  </cols>
  <sheetData>
    <row r="1" ht="12.75">
      <c r="A1" t="s">
        <v>147</v>
      </c>
    </row>
    <row r="2" ht="12.75">
      <c r="D2" s="2"/>
    </row>
    <row r="3" spans="1:9" ht="12.75">
      <c r="A3" s="9" t="s">
        <v>17</v>
      </c>
      <c r="B3" s="19" t="s">
        <v>11</v>
      </c>
      <c r="C3" s="19" t="s">
        <v>55</v>
      </c>
      <c r="D3" s="135" t="s">
        <v>12</v>
      </c>
      <c r="E3" s="140"/>
      <c r="F3" s="136"/>
      <c r="G3" s="19" t="s">
        <v>35</v>
      </c>
      <c r="H3" s="9" t="s">
        <v>29</v>
      </c>
      <c r="I3" s="9" t="s">
        <v>39</v>
      </c>
    </row>
    <row r="4" spans="1:9" ht="12.75">
      <c r="A4" s="4"/>
      <c r="B4" s="4"/>
      <c r="C4" s="4" t="s">
        <v>30</v>
      </c>
      <c r="D4" s="18" t="s">
        <v>28</v>
      </c>
      <c r="E4" s="17" t="s">
        <v>54</v>
      </c>
      <c r="F4" s="6" t="s">
        <v>48</v>
      </c>
      <c r="G4" s="4" t="s">
        <v>56</v>
      </c>
      <c r="H4" s="4" t="s">
        <v>36</v>
      </c>
      <c r="I4" s="4" t="s">
        <v>36</v>
      </c>
    </row>
    <row r="5" spans="1:9" ht="12.75">
      <c r="A5" s="10"/>
      <c r="B5" s="4"/>
      <c r="C5" s="4"/>
      <c r="D5" s="18"/>
      <c r="E5" s="17" t="s">
        <v>40</v>
      </c>
      <c r="F5" s="6" t="s">
        <v>40</v>
      </c>
      <c r="G5" s="4"/>
      <c r="H5" s="6"/>
      <c r="I5" s="10"/>
    </row>
    <row r="6" spans="1:9" ht="12.75">
      <c r="A6" s="12" t="s">
        <v>18</v>
      </c>
      <c r="B6" s="15" t="s">
        <v>24</v>
      </c>
      <c r="C6" s="30">
        <f>+I9/G6</f>
        <v>3374.5268763714803</v>
      </c>
      <c r="D6" s="27">
        <f>'Credit Values'!I56</f>
        <v>1.336</v>
      </c>
      <c r="E6" s="27">
        <f>'Credit Values'!$K$30</f>
        <v>1</v>
      </c>
      <c r="F6" s="51">
        <f>'Credit Values'!I57</f>
        <v>1.504672897196262</v>
      </c>
      <c r="G6" s="51">
        <f>+D6*E6*F6</f>
        <v>2.010242990654206</v>
      </c>
      <c r="H6" s="34">
        <f>+C6*G6</f>
        <v>6783.619000000001</v>
      </c>
      <c r="I6" s="30"/>
    </row>
    <row r="7" spans="1:9" ht="12.75">
      <c r="A7" s="14" t="s">
        <v>38</v>
      </c>
      <c r="B7" s="7" t="s">
        <v>42</v>
      </c>
      <c r="C7" s="31">
        <v>0</v>
      </c>
      <c r="D7" s="27">
        <f>'Credit Values'!$I$104</f>
        <v>1</v>
      </c>
      <c r="E7" s="27">
        <f>'Credit Values'!$K$31</f>
        <v>0.15</v>
      </c>
      <c r="F7" s="51">
        <f>'Credit Values'!$I$105</f>
        <v>1</v>
      </c>
      <c r="G7" s="51">
        <f>+D7*E7*F7</f>
        <v>0.15</v>
      </c>
      <c r="H7" s="34">
        <f>+C7*G7</f>
        <v>0</v>
      </c>
      <c r="I7" s="42"/>
    </row>
    <row r="8" spans="1:9" ht="12.75">
      <c r="A8" s="86">
        <f>Sales!N42</f>
        <v>271344.76</v>
      </c>
      <c r="B8" s="7" t="s">
        <v>27</v>
      </c>
      <c r="C8" s="31">
        <v>0</v>
      </c>
      <c r="D8" s="27">
        <f>'Credit Values'!I60</f>
        <v>1</v>
      </c>
      <c r="E8" s="27">
        <f>'Credit Values'!$K$30</f>
        <v>1</v>
      </c>
      <c r="F8" s="51">
        <f>'Credit Values'!I61</f>
        <v>1.3507625272331156</v>
      </c>
      <c r="G8" s="51">
        <f>+D8*E8*F8</f>
        <v>1.3507625272331156</v>
      </c>
      <c r="H8" s="34">
        <f>+C8*G8</f>
        <v>0</v>
      </c>
      <c r="I8" s="42"/>
    </row>
    <row r="9" spans="1:9" ht="12.75">
      <c r="A9" s="14"/>
      <c r="B9" s="16" t="s">
        <v>37</v>
      </c>
      <c r="C9" s="31">
        <f>+SUM(C6:C8)</f>
        <v>3374.5268763714803</v>
      </c>
      <c r="D9" s="27"/>
      <c r="E9" s="27" t="s">
        <v>40</v>
      </c>
      <c r="F9" s="13"/>
      <c r="G9" s="51"/>
      <c r="H9" s="30">
        <f>+SUM(H6:H8)</f>
        <v>6783.619000000001</v>
      </c>
      <c r="I9" s="44">
        <f>+A8*0.025</f>
        <v>6783.619000000001</v>
      </c>
    </row>
    <row r="10" spans="1:9" ht="12.75">
      <c r="A10" s="9" t="s">
        <v>19</v>
      </c>
      <c r="B10" s="11" t="s">
        <v>34</v>
      </c>
      <c r="C10" s="32">
        <f>+I13/G10</f>
        <v>3217.233260032541</v>
      </c>
      <c r="D10" s="28">
        <f>'Credit Values'!I64</f>
        <v>1.256</v>
      </c>
      <c r="E10" s="83">
        <f>'Credit Values'!$K$30</f>
        <v>1</v>
      </c>
      <c r="F10" s="52">
        <f>'Credit Values'!I65</f>
        <v>2.2048</v>
      </c>
      <c r="G10" s="82">
        <f>+D10*E10*F10</f>
        <v>2.7692288</v>
      </c>
      <c r="H10" s="36">
        <f>+C10*G10</f>
        <v>8909.255000000001</v>
      </c>
      <c r="I10" s="37"/>
    </row>
    <row r="11" spans="1:9" ht="12.75">
      <c r="A11" s="10" t="s">
        <v>38</v>
      </c>
      <c r="B11" s="11" t="s">
        <v>42</v>
      </c>
      <c r="C11" s="32">
        <v>0</v>
      </c>
      <c r="D11" s="83">
        <f>'Credit Values'!$I$104</f>
        <v>1</v>
      </c>
      <c r="E11" s="83">
        <f>'Credit Values'!$K$31</f>
        <v>0.15</v>
      </c>
      <c r="F11" s="82">
        <f>'Credit Values'!$I$105</f>
        <v>1</v>
      </c>
      <c r="G11" s="82">
        <f>+D11*E11*F11</f>
        <v>0.15</v>
      </c>
      <c r="H11" s="38">
        <f>+C11*G11</f>
        <v>0</v>
      </c>
      <c r="I11" s="39"/>
    </row>
    <row r="12" spans="1:9" ht="12.75">
      <c r="A12" s="87">
        <f>Sales!N46</f>
        <v>356370.2</v>
      </c>
      <c r="B12" s="11" t="s">
        <v>57</v>
      </c>
      <c r="C12" s="32">
        <v>0</v>
      </c>
      <c r="D12" s="28">
        <f>'Credit Values'!I68</f>
        <v>1</v>
      </c>
      <c r="E12" s="83">
        <f>'Credit Values'!$K$30</f>
        <v>1</v>
      </c>
      <c r="F12" s="52">
        <f>'Credit Values'!I69</f>
        <v>1.3500363108206248</v>
      </c>
      <c r="G12" s="82">
        <f>+D12*E12*F12</f>
        <v>1.3500363108206248</v>
      </c>
      <c r="H12" s="38">
        <f>+C12*G12</f>
        <v>0</v>
      </c>
      <c r="I12" s="39"/>
    </row>
    <row r="13" spans="1:9" ht="12.75">
      <c r="A13" s="4"/>
      <c r="B13" s="11" t="s">
        <v>37</v>
      </c>
      <c r="C13" s="32">
        <f>+SUM(C10:C12)</f>
        <v>3217.233260032541</v>
      </c>
      <c r="D13" s="28"/>
      <c r="E13" s="47" t="s">
        <v>40</v>
      </c>
      <c r="F13" s="43"/>
      <c r="G13" s="82"/>
      <c r="H13" s="40">
        <f>+SUM(H10:H12)</f>
        <v>8909.255000000001</v>
      </c>
      <c r="I13" s="41">
        <f>+A12*0.025</f>
        <v>8909.255000000001</v>
      </c>
    </row>
    <row r="14" spans="1:9" ht="12.75">
      <c r="A14" s="12" t="s">
        <v>20</v>
      </c>
      <c r="B14" s="7" t="s">
        <v>25</v>
      </c>
      <c r="C14" s="31">
        <f>+I17/G14</f>
        <v>2318.43857997847</v>
      </c>
      <c r="D14" s="27">
        <f>'Credit Values'!I72</f>
        <v>1.4888</v>
      </c>
      <c r="E14" s="27">
        <f>'Credit Values'!$K$30</f>
        <v>1</v>
      </c>
      <c r="F14" s="51">
        <f>'Credit Values'!I73</f>
        <v>2.8174291938997817</v>
      </c>
      <c r="G14" s="51">
        <f aca="true" t="shared" si="0" ref="G14:G20">+D14*E14*F14</f>
        <v>4.194588583877994</v>
      </c>
      <c r="H14" s="34">
        <f>+C14*G14</f>
        <v>9724.895999999999</v>
      </c>
      <c r="I14" s="30"/>
    </row>
    <row r="15" spans="1:10" ht="12.75">
      <c r="A15" s="14" t="s">
        <v>38</v>
      </c>
      <c r="B15" s="15" t="s">
        <v>42</v>
      </c>
      <c r="C15" s="31">
        <v>0</v>
      </c>
      <c r="D15" s="27">
        <f>'Credit Values'!$I$104</f>
        <v>1</v>
      </c>
      <c r="E15" s="27">
        <f>'Credit Values'!$K$31</f>
        <v>0.15</v>
      </c>
      <c r="F15" s="51">
        <f>'Credit Values'!$I$105</f>
        <v>1</v>
      </c>
      <c r="G15" s="51">
        <f t="shared" si="0"/>
        <v>0.15</v>
      </c>
      <c r="H15" s="34">
        <f>+C15*G15</f>
        <v>0</v>
      </c>
      <c r="I15" s="42"/>
      <c r="J15" s="23"/>
    </row>
    <row r="16" spans="1:9" ht="12.75">
      <c r="A16" s="86">
        <f>Sales!N50</f>
        <v>388995.83999999997</v>
      </c>
      <c r="B16" s="7" t="s">
        <v>27</v>
      </c>
      <c r="C16" s="31">
        <v>0</v>
      </c>
      <c r="D16" s="27">
        <f>'Credit Values'!I76</f>
        <v>1</v>
      </c>
      <c r="E16" s="27">
        <f>'Credit Values'!$K$30</f>
        <v>1</v>
      </c>
      <c r="F16" s="51">
        <f>'Credit Values'!I77</f>
        <v>1.3507625272331156</v>
      </c>
      <c r="G16" s="51">
        <f t="shared" si="0"/>
        <v>1.3507625272331156</v>
      </c>
      <c r="H16" s="34">
        <f>+C16*G16</f>
        <v>0</v>
      </c>
      <c r="I16" s="42"/>
    </row>
    <row r="17" spans="1:9" ht="12.75">
      <c r="A17" s="13"/>
      <c r="B17" s="7" t="s">
        <v>37</v>
      </c>
      <c r="C17" s="31">
        <f>+SUM(C14:C16)</f>
        <v>2318.43857997847</v>
      </c>
      <c r="D17" s="27"/>
      <c r="E17" s="27"/>
      <c r="F17" s="13"/>
      <c r="G17" s="51">
        <f t="shared" si="0"/>
        <v>0</v>
      </c>
      <c r="H17" s="30">
        <f>+SUM(H14:H16)</f>
        <v>9724.895999999999</v>
      </c>
      <c r="I17" s="44">
        <f>+A16*0.025</f>
        <v>9724.895999999999</v>
      </c>
    </row>
    <row r="18" spans="1:9" ht="12.75">
      <c r="A18" s="9" t="s">
        <v>21</v>
      </c>
      <c r="B18" s="11" t="s">
        <v>26</v>
      </c>
      <c r="C18" s="32">
        <f>+I21/G18</f>
        <v>1766.6341371876763</v>
      </c>
      <c r="D18" s="28">
        <f>'Credit Values'!I80</f>
        <v>1.6016</v>
      </c>
      <c r="E18" s="83">
        <f>'Credit Values'!$K$30</f>
        <v>1</v>
      </c>
      <c r="F18" s="52">
        <f>'Credit Values'!I81</f>
        <v>2.0407407407407407</v>
      </c>
      <c r="G18" s="82">
        <f t="shared" si="0"/>
        <v>3.26845037037037</v>
      </c>
      <c r="H18" s="36">
        <f>+C18*G18</f>
        <v>5774.156</v>
      </c>
      <c r="I18" s="37"/>
    </row>
    <row r="19" spans="1:9" ht="12.75">
      <c r="A19" s="10" t="s">
        <v>38</v>
      </c>
      <c r="B19" s="11" t="s">
        <v>42</v>
      </c>
      <c r="C19" s="32">
        <v>0</v>
      </c>
      <c r="D19" s="83">
        <f>'Credit Values'!$I$104</f>
        <v>1</v>
      </c>
      <c r="E19" s="83">
        <f>'Credit Values'!$K$31</f>
        <v>0.15</v>
      </c>
      <c r="F19" s="82">
        <f>'Credit Values'!$I$105</f>
        <v>1</v>
      </c>
      <c r="G19" s="82">
        <f t="shared" si="0"/>
        <v>0.15</v>
      </c>
      <c r="H19" s="38">
        <f>+C19*G19</f>
        <v>0</v>
      </c>
      <c r="I19" s="39"/>
    </row>
    <row r="20" spans="1:9" ht="12.75">
      <c r="A20" s="87">
        <f>Sales!N54</f>
        <v>230966.24</v>
      </c>
      <c r="B20" s="11" t="s">
        <v>58</v>
      </c>
      <c r="C20" s="32">
        <v>0</v>
      </c>
      <c r="D20" s="28">
        <f>'Credit Values'!I84</f>
        <v>1.24</v>
      </c>
      <c r="E20" s="83">
        <f>'Credit Values'!$K$30</f>
        <v>1</v>
      </c>
      <c r="F20" s="52">
        <f>'Credit Values'!I85</f>
        <v>1.4524328249818448</v>
      </c>
      <c r="G20" s="82">
        <f t="shared" si="0"/>
        <v>1.8010167029774875</v>
      </c>
      <c r="H20" s="38">
        <f>+C20*G20</f>
        <v>0</v>
      </c>
      <c r="I20" s="39"/>
    </row>
    <row r="21" spans="1:9" ht="12.75">
      <c r="A21" s="10"/>
      <c r="B21" s="11" t="s">
        <v>37</v>
      </c>
      <c r="C21" s="32">
        <f>+SUM(C18:C20)</f>
        <v>1766.6341371876763</v>
      </c>
      <c r="D21" s="28"/>
      <c r="E21" s="47" t="s">
        <v>40</v>
      </c>
      <c r="F21" s="43"/>
      <c r="G21" s="82"/>
      <c r="H21" s="40">
        <f>+SUM(H18:H20)</f>
        <v>5774.156</v>
      </c>
      <c r="I21" s="41">
        <f>+A20*0.025</f>
        <v>5774.156</v>
      </c>
    </row>
    <row r="22" spans="1:9" ht="12.75">
      <c r="A22" s="12" t="s">
        <v>22</v>
      </c>
      <c r="B22" s="16" t="s">
        <v>6</v>
      </c>
      <c r="C22" s="31">
        <f>+I25/G22</f>
        <v>436.7681875153996</v>
      </c>
      <c r="D22" s="27">
        <f>'Credit Values'!I88</f>
        <v>1.6320000000000001</v>
      </c>
      <c r="E22" s="27">
        <f>'Credit Values'!$K$30</f>
        <v>1</v>
      </c>
      <c r="F22" s="51">
        <f>'Credit Values'!I89</f>
        <v>2.859895833333333</v>
      </c>
      <c r="G22" s="51">
        <f>+D22*E22*F22</f>
        <v>4.66735</v>
      </c>
      <c r="H22" s="34">
        <f>+C22*G22</f>
        <v>2038.5500000000002</v>
      </c>
      <c r="I22" s="42"/>
    </row>
    <row r="23" spans="1:9" ht="12.75">
      <c r="A23" s="14" t="s">
        <v>38</v>
      </c>
      <c r="B23" s="16" t="s">
        <v>42</v>
      </c>
      <c r="C23" s="31">
        <v>0</v>
      </c>
      <c r="D23" s="27">
        <f>'Credit Values'!$I$104</f>
        <v>1</v>
      </c>
      <c r="E23" s="27">
        <f>'Credit Values'!$K$31</f>
        <v>0.15</v>
      </c>
      <c r="F23" s="51">
        <f>'Credit Values'!$I$105</f>
        <v>1</v>
      </c>
      <c r="G23" s="51">
        <f>+D23*E23*F23</f>
        <v>0.15</v>
      </c>
      <c r="H23" s="34">
        <f>+C23*G23</f>
        <v>0</v>
      </c>
      <c r="I23" s="42"/>
    </row>
    <row r="24" spans="1:9" ht="12.75">
      <c r="A24" s="86">
        <f>Sales!N58</f>
        <v>81542</v>
      </c>
      <c r="B24" s="7" t="s">
        <v>59</v>
      </c>
      <c r="C24" s="30">
        <v>0</v>
      </c>
      <c r="D24" s="27">
        <f>'Credit Values'!I92</f>
        <v>1.08</v>
      </c>
      <c r="E24" s="27">
        <f>'Credit Values'!$K$30</f>
        <v>1</v>
      </c>
      <c r="F24" s="51">
        <f>'Credit Values'!I93</f>
        <v>1.9480029048656502</v>
      </c>
      <c r="G24" s="51">
        <f>+D24*E24*F24</f>
        <v>2.1038431372549025</v>
      </c>
      <c r="H24" s="34">
        <f>+C24*G24</f>
        <v>0</v>
      </c>
      <c r="I24" s="42"/>
    </row>
    <row r="25" spans="1:9" ht="12.75">
      <c r="A25" s="14"/>
      <c r="B25" s="15" t="s">
        <v>37</v>
      </c>
      <c r="C25" s="30">
        <f>+SUM(C22:C24)</f>
        <v>436.7681875153996</v>
      </c>
      <c r="D25" s="27"/>
      <c r="E25" s="27" t="s">
        <v>40</v>
      </c>
      <c r="F25" s="13"/>
      <c r="G25" s="51"/>
      <c r="H25" s="30">
        <f>+SUM(H22:H24)</f>
        <v>2038.5500000000002</v>
      </c>
      <c r="I25" s="42">
        <f>+A24*0.025</f>
        <v>2038.5500000000002</v>
      </c>
    </row>
    <row r="26" spans="1:9" ht="12.75">
      <c r="A26" s="9" t="s">
        <v>23</v>
      </c>
      <c r="B26" s="11" t="s">
        <v>7</v>
      </c>
      <c r="C26" s="32">
        <f>+I29/G26</f>
        <v>1645.7713328238171</v>
      </c>
      <c r="D26" s="28">
        <f>'Credit Values'!I96</f>
        <v>1.7392000000000003</v>
      </c>
      <c r="E26" s="83">
        <f>'Credit Values'!$K$30</f>
        <v>1</v>
      </c>
      <c r="F26" s="47">
        <f>'Credit Values'!I97</f>
        <v>2.7354666666666665</v>
      </c>
      <c r="G26" s="82">
        <f>+D26*E26*F26</f>
        <v>4.757523626666667</v>
      </c>
      <c r="H26" s="36">
        <f>+C26*G26</f>
        <v>7829.796</v>
      </c>
      <c r="I26" s="37"/>
    </row>
    <row r="27" spans="1:9" ht="12.75">
      <c r="A27" s="10" t="s">
        <v>38</v>
      </c>
      <c r="B27" s="2" t="s">
        <v>42</v>
      </c>
      <c r="C27" s="32">
        <v>0</v>
      </c>
      <c r="D27" s="83">
        <f>'Credit Values'!$I$104</f>
        <v>1</v>
      </c>
      <c r="E27" s="83">
        <f>'Credit Values'!$K$31</f>
        <v>0.15</v>
      </c>
      <c r="F27" s="82">
        <f>'Credit Values'!$I$105</f>
        <v>1</v>
      </c>
      <c r="G27" s="82">
        <f>+D27*E27*F27</f>
        <v>0.15</v>
      </c>
      <c r="H27" s="38">
        <f>+C27*G27</f>
        <v>0</v>
      </c>
      <c r="I27" s="39"/>
    </row>
    <row r="28" spans="1:9" ht="12.75">
      <c r="A28" s="87">
        <f>Sales!N62</f>
        <v>313191.84</v>
      </c>
      <c r="B28" s="11" t="s">
        <v>60</v>
      </c>
      <c r="C28" s="32">
        <v>0</v>
      </c>
      <c r="D28" s="28">
        <f>'Credit Values'!I100</f>
        <v>1.08</v>
      </c>
      <c r="E28" s="83">
        <f>'Credit Values'!$K$30</f>
        <v>1</v>
      </c>
      <c r="F28" s="52">
        <f>'Credit Values'!I101</f>
        <v>1.8503994190268702</v>
      </c>
      <c r="G28" s="82">
        <f>+D28*E28*F28</f>
        <v>1.99843137254902</v>
      </c>
      <c r="H28" s="38">
        <f>+C28*G28</f>
        <v>0</v>
      </c>
      <c r="I28" s="39"/>
    </row>
    <row r="29" spans="1:11" ht="12.75">
      <c r="A29" s="4"/>
      <c r="B29" s="1" t="s">
        <v>37</v>
      </c>
      <c r="C29" s="32">
        <f>+SUM(C26:C28)</f>
        <v>1645.7713328238171</v>
      </c>
      <c r="D29" s="28"/>
      <c r="E29" s="29" t="s">
        <v>40</v>
      </c>
      <c r="F29" s="43"/>
      <c r="G29" s="52"/>
      <c r="H29" s="40">
        <f>+SUM(H26:H28)</f>
        <v>7829.796</v>
      </c>
      <c r="I29" s="41">
        <f>+A28*0.025</f>
        <v>7829.796000000001</v>
      </c>
      <c r="J29" s="105" t="s">
        <v>178</v>
      </c>
      <c r="K29" s="105" t="s">
        <v>47</v>
      </c>
    </row>
    <row r="30" spans="7:11" ht="12.75">
      <c r="G30" s="85"/>
      <c r="H30" s="33"/>
      <c r="I30" s="22"/>
      <c r="J30" s="105" t="s">
        <v>12</v>
      </c>
      <c r="K30" s="105" t="s">
        <v>179</v>
      </c>
    </row>
    <row r="31" spans="1:11" ht="12.75">
      <c r="A31" s="88">
        <f>+A28+A24+A20+A16+A12+A8</f>
        <v>1642410.8800000001</v>
      </c>
      <c r="B31" s="7" t="s">
        <v>35</v>
      </c>
      <c r="C31" s="26">
        <f>+C29+C25+C21+C17+C13+C9</f>
        <v>12759.372373909384</v>
      </c>
      <c r="D31" s="25"/>
      <c r="E31" s="25"/>
      <c r="F31" s="25"/>
      <c r="G31" s="84"/>
      <c r="H31" s="26">
        <f>+H29+H25+H21+H17+H13+H9</f>
        <v>41060.272000000004</v>
      </c>
      <c r="I31" s="26">
        <f>+I29+I25+I21+I17+I13+I9</f>
        <v>41060.272000000004</v>
      </c>
      <c r="J31" s="106">
        <f>I31/C31</f>
        <v>3.218047941289092</v>
      </c>
      <c r="K31" s="107">
        <f>'Fleet totals'!F12/J31</f>
        <v>0.007768684760484162</v>
      </c>
    </row>
    <row r="32" ht="12.75">
      <c r="G32" s="85"/>
    </row>
    <row r="33" spans="1:9" ht="12.75">
      <c r="A33" s="7" t="s">
        <v>126</v>
      </c>
      <c r="B33" s="7"/>
      <c r="C33" s="31">
        <f>+I33/G33</f>
        <v>8484.392938775512</v>
      </c>
      <c r="D33" s="27">
        <f>'Credit Values'!I108</f>
        <v>2.8</v>
      </c>
      <c r="E33" s="27">
        <f>'Credit Values'!$K$30</f>
        <v>1</v>
      </c>
      <c r="F33" s="84">
        <f>'Credit Values'!I109</f>
        <v>1.728395061728395</v>
      </c>
      <c r="G33" s="27">
        <f>+D33*E33*F33</f>
        <v>4.8395061728395055</v>
      </c>
      <c r="H33" s="31">
        <f>+C33*G33</f>
        <v>41060.272000000004</v>
      </c>
      <c r="I33" s="26">
        <f>+I31+I27+I23+I19+I15+I11</f>
        <v>41060.272000000004</v>
      </c>
    </row>
  </sheetData>
  <mergeCells count="1">
    <mergeCell ref="D3:F3"/>
  </mergeCells>
  <printOptions/>
  <pageMargins left="0.75" right="0.75" top="1" bottom="1" header="0.5" footer="0.5"/>
  <pageSetup fitToHeight="1" fitToWidth="1" horizontalDpi="600" verticalDpi="600" orientation="landscape" r:id="rId4"/>
  <headerFooter alignWithMargins="0">
    <oddHeader>&amp;C&amp;"Arial,Bold"&amp;20Includes Intermediate Manufacturers</oddHeader>
  </headerFooter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K33"/>
  <sheetViews>
    <sheetView zoomScale="75" zoomScaleNormal="75" workbookViewId="0" topLeftCell="A1">
      <selection activeCell="R38" sqref="R38"/>
    </sheetView>
  </sheetViews>
  <sheetFormatPr defaultColWidth="9.140625" defaultRowHeight="12.75"/>
  <cols>
    <col min="1" max="1" width="13.421875" style="0" customWidth="1"/>
    <col min="2" max="2" width="17.421875" style="0" customWidth="1"/>
    <col min="6" max="6" width="10.7109375" style="0" customWidth="1"/>
    <col min="7" max="7" width="11.28125" style="0" customWidth="1"/>
    <col min="11" max="11" width="12.421875" style="0" customWidth="1"/>
  </cols>
  <sheetData>
    <row r="1" ht="12.75">
      <c r="A1" t="s">
        <v>148</v>
      </c>
    </row>
    <row r="2" ht="12.75">
      <c r="D2" s="2"/>
    </row>
    <row r="3" spans="1:9" ht="12.75">
      <c r="A3" s="9" t="s">
        <v>17</v>
      </c>
      <c r="B3" s="19" t="s">
        <v>11</v>
      </c>
      <c r="C3" s="19" t="s">
        <v>55</v>
      </c>
      <c r="D3" s="135" t="s">
        <v>12</v>
      </c>
      <c r="E3" s="140"/>
      <c r="F3" s="136"/>
      <c r="G3" s="19" t="s">
        <v>35</v>
      </c>
      <c r="H3" s="9" t="s">
        <v>29</v>
      </c>
      <c r="I3" s="9" t="s">
        <v>39</v>
      </c>
    </row>
    <row r="4" spans="1:9" ht="12.75">
      <c r="A4" s="4"/>
      <c r="B4" s="4"/>
      <c r="C4" s="4" t="s">
        <v>30</v>
      </c>
      <c r="D4" s="18" t="s">
        <v>28</v>
      </c>
      <c r="E4" s="17" t="s">
        <v>54</v>
      </c>
      <c r="F4" s="6" t="s">
        <v>48</v>
      </c>
      <c r="G4" s="4" t="s">
        <v>56</v>
      </c>
      <c r="H4" s="4" t="s">
        <v>36</v>
      </c>
      <c r="I4" s="4" t="s">
        <v>36</v>
      </c>
    </row>
    <row r="5" spans="1:9" ht="12.75">
      <c r="A5" s="10"/>
      <c r="B5" s="4"/>
      <c r="C5" s="4"/>
      <c r="D5" s="18"/>
      <c r="E5" s="17" t="s">
        <v>40</v>
      </c>
      <c r="F5" s="6" t="s">
        <v>40</v>
      </c>
      <c r="G5" s="4"/>
      <c r="H5" s="6"/>
      <c r="I5" s="10"/>
    </row>
    <row r="6" spans="1:9" ht="12.75">
      <c r="A6" s="12" t="s">
        <v>18</v>
      </c>
      <c r="B6" s="15" t="s">
        <v>24</v>
      </c>
      <c r="C6" s="30">
        <f>+I9/G6</f>
        <v>3710.2722330959186</v>
      </c>
      <c r="D6" s="27">
        <f>'Credit Values'!J56</f>
        <v>1.336</v>
      </c>
      <c r="E6" s="27">
        <f>'Credit Values'!$B$36</f>
        <v>1</v>
      </c>
      <c r="F6" s="51">
        <f>'Credit Values'!J57</f>
        <v>1.504672897196262</v>
      </c>
      <c r="G6" s="51">
        <f>+D6*E6*F6</f>
        <v>2.010242990654206</v>
      </c>
      <c r="H6" s="34">
        <f>+C6*G6</f>
        <v>7458.548749999999</v>
      </c>
      <c r="I6" s="30"/>
    </row>
    <row r="7" spans="1:9" ht="12.75">
      <c r="A7" s="14" t="s">
        <v>38</v>
      </c>
      <c r="B7" s="7" t="s">
        <v>42</v>
      </c>
      <c r="C7" s="31">
        <v>0</v>
      </c>
      <c r="D7" s="27">
        <f>'Credit Values'!$J$104</f>
        <v>1</v>
      </c>
      <c r="E7" s="27">
        <f>'Credit Values'!$B$37</f>
        <v>0.15</v>
      </c>
      <c r="F7" s="51">
        <f>'Credit Values'!$J$105</f>
        <v>1</v>
      </c>
      <c r="G7" s="51">
        <f>+D7*E7*F7</f>
        <v>0.15</v>
      </c>
      <c r="H7" s="34">
        <f>+C7*G7</f>
        <v>0</v>
      </c>
      <c r="I7" s="42"/>
    </row>
    <row r="8" spans="1:9" ht="12.75">
      <c r="A8" s="86">
        <f>Sales!O42</f>
        <v>298341.94999999995</v>
      </c>
      <c r="B8" s="7" t="s">
        <v>27</v>
      </c>
      <c r="C8" s="31">
        <v>0</v>
      </c>
      <c r="D8" s="27">
        <f>'Credit Values'!J60</f>
        <v>1</v>
      </c>
      <c r="E8" s="27">
        <f>'Credit Values'!$B$36</f>
        <v>1</v>
      </c>
      <c r="F8" s="51">
        <f>'Credit Values'!J61</f>
        <v>1.3507625272331156</v>
      </c>
      <c r="G8" s="51">
        <f>+D8*E8*F8</f>
        <v>1.3507625272331156</v>
      </c>
      <c r="H8" s="34">
        <f>+C8*G8</f>
        <v>0</v>
      </c>
      <c r="I8" s="42"/>
    </row>
    <row r="9" spans="1:9" ht="12.75">
      <c r="A9" s="14"/>
      <c r="B9" s="16" t="s">
        <v>37</v>
      </c>
      <c r="C9" s="31">
        <f>+SUM(C6:C8)</f>
        <v>3710.2722330959186</v>
      </c>
      <c r="D9" s="27"/>
      <c r="E9" s="27" t="s">
        <v>40</v>
      </c>
      <c r="F9" s="13"/>
      <c r="G9" s="51"/>
      <c r="H9" s="30">
        <f>+SUM(H6:H8)</f>
        <v>7458.548749999999</v>
      </c>
      <c r="I9" s="44">
        <f>+A8*0.025</f>
        <v>7458.548749999999</v>
      </c>
    </row>
    <row r="10" spans="1:9" ht="12.75">
      <c r="A10" s="9" t="s">
        <v>19</v>
      </c>
      <c r="B10" s="11" t="s">
        <v>34</v>
      </c>
      <c r="C10" s="32">
        <f>+I13/G10</f>
        <v>3540.545746888087</v>
      </c>
      <c r="D10" s="28">
        <f>'Credit Values'!J64</f>
        <v>1.256</v>
      </c>
      <c r="E10" s="83">
        <f>'Credit Values'!$B$36</f>
        <v>1</v>
      </c>
      <c r="F10" s="52">
        <f>'Credit Values'!J65</f>
        <v>2.2048</v>
      </c>
      <c r="G10" s="82">
        <f>+D10*E10*F10</f>
        <v>2.7692288</v>
      </c>
      <c r="H10" s="36">
        <f>+C10*G10</f>
        <v>9804.581250000001</v>
      </c>
      <c r="I10" s="37"/>
    </row>
    <row r="11" spans="1:9" ht="12.75">
      <c r="A11" s="10" t="s">
        <v>38</v>
      </c>
      <c r="B11" s="11" t="s">
        <v>42</v>
      </c>
      <c r="C11" s="32">
        <v>0</v>
      </c>
      <c r="D11" s="83">
        <f>'Credit Values'!$J$104</f>
        <v>1</v>
      </c>
      <c r="E11" s="83">
        <f>'Credit Values'!$B$37</f>
        <v>0.15</v>
      </c>
      <c r="F11" s="82">
        <f>'Credit Values'!$J$105</f>
        <v>1</v>
      </c>
      <c r="G11" s="82">
        <f>+D11*E11*F11</f>
        <v>0.15</v>
      </c>
      <c r="H11" s="38">
        <f>+C11*G11</f>
        <v>0</v>
      </c>
      <c r="I11" s="39"/>
    </row>
    <row r="12" spans="1:9" ht="12.75">
      <c r="A12" s="87">
        <f>Sales!O46</f>
        <v>392183.25</v>
      </c>
      <c r="B12" s="11" t="s">
        <v>57</v>
      </c>
      <c r="C12" s="32">
        <v>0</v>
      </c>
      <c r="D12" s="28">
        <f>'Credit Values'!J68</f>
        <v>1</v>
      </c>
      <c r="E12" s="83">
        <f>'Credit Values'!$B$36</f>
        <v>1</v>
      </c>
      <c r="F12" s="52">
        <f>'Credit Values'!J69</f>
        <v>1.3500363108206248</v>
      </c>
      <c r="G12" s="82">
        <f>+D12*E12*F12</f>
        <v>1.3500363108206248</v>
      </c>
      <c r="H12" s="38">
        <f>+C12*G12</f>
        <v>0</v>
      </c>
      <c r="I12" s="39"/>
    </row>
    <row r="13" spans="1:9" ht="12.75">
      <c r="A13" s="4"/>
      <c r="B13" s="11" t="s">
        <v>37</v>
      </c>
      <c r="C13" s="32">
        <f>+SUM(C10:C12)</f>
        <v>3540.545746888087</v>
      </c>
      <c r="D13" s="28"/>
      <c r="E13" s="47" t="s">
        <v>40</v>
      </c>
      <c r="F13" s="43"/>
      <c r="G13" s="82"/>
      <c r="H13" s="40">
        <f>+SUM(H10:H12)</f>
        <v>9804.581250000001</v>
      </c>
      <c r="I13" s="41">
        <f>+A12*0.025</f>
        <v>9804.581250000001</v>
      </c>
    </row>
    <row r="14" spans="1:9" ht="12.75">
      <c r="A14" s="12" t="s">
        <v>20</v>
      </c>
      <c r="B14" s="7" t="s">
        <v>25</v>
      </c>
      <c r="C14" s="31">
        <f>+I17/G14</f>
        <v>2538.748982660594</v>
      </c>
      <c r="D14" s="27">
        <f>'Credit Values'!J72</f>
        <v>1.4888</v>
      </c>
      <c r="E14" s="27">
        <f>'Credit Values'!$B$36</f>
        <v>1</v>
      </c>
      <c r="F14" s="51">
        <f>'Credit Values'!J73</f>
        <v>2.8174291938997817</v>
      </c>
      <c r="G14" s="51">
        <f aca="true" t="shared" si="0" ref="G14:G20">+D14*E14*F14</f>
        <v>4.194588583877994</v>
      </c>
      <c r="H14" s="34">
        <f>+C14*G14</f>
        <v>10649.0075</v>
      </c>
      <c r="I14" s="30"/>
    </row>
    <row r="15" spans="1:10" ht="12.75">
      <c r="A15" s="14" t="s">
        <v>38</v>
      </c>
      <c r="B15" s="15" t="s">
        <v>42</v>
      </c>
      <c r="C15" s="31">
        <v>0</v>
      </c>
      <c r="D15" s="27">
        <f>'Credit Values'!$J$104</f>
        <v>1</v>
      </c>
      <c r="E15" s="27">
        <f>'Credit Values'!$B$37</f>
        <v>0.15</v>
      </c>
      <c r="F15" s="51">
        <f>'Credit Values'!$J$105</f>
        <v>1</v>
      </c>
      <c r="G15" s="51">
        <f t="shared" si="0"/>
        <v>0.15</v>
      </c>
      <c r="H15" s="34">
        <f>+C15*G15</f>
        <v>0</v>
      </c>
      <c r="I15" s="42"/>
      <c r="J15" s="23"/>
    </row>
    <row r="16" spans="1:9" ht="12.75">
      <c r="A16" s="86">
        <f>Sales!O50</f>
        <v>425960.3</v>
      </c>
      <c r="B16" s="7" t="s">
        <v>27</v>
      </c>
      <c r="C16" s="31">
        <v>0</v>
      </c>
      <c r="D16" s="27">
        <f>'Credit Values'!J76</f>
        <v>1</v>
      </c>
      <c r="E16" s="27">
        <f>'Credit Values'!$B$36</f>
        <v>1</v>
      </c>
      <c r="F16" s="51">
        <f>'Credit Values'!J77</f>
        <v>1.3507625272331156</v>
      </c>
      <c r="G16" s="51">
        <f t="shared" si="0"/>
        <v>1.3507625272331156</v>
      </c>
      <c r="H16" s="34">
        <f>+C16*G16</f>
        <v>0</v>
      </c>
      <c r="I16" s="42"/>
    </row>
    <row r="17" spans="1:9" ht="12.75">
      <c r="A17" s="13"/>
      <c r="B17" s="7" t="s">
        <v>37</v>
      </c>
      <c r="C17" s="31">
        <f>+SUM(C14:C16)</f>
        <v>2538.748982660594</v>
      </c>
      <c r="D17" s="27"/>
      <c r="E17" s="27"/>
      <c r="F17" s="13"/>
      <c r="G17" s="51">
        <f t="shared" si="0"/>
        <v>0</v>
      </c>
      <c r="H17" s="30">
        <f>+SUM(H14:H16)</f>
        <v>10649.0075</v>
      </c>
      <c r="I17" s="44">
        <f>+A16*0.025</f>
        <v>10649.0075</v>
      </c>
    </row>
    <row r="18" spans="1:9" ht="12.75">
      <c r="A18" s="9" t="s">
        <v>21</v>
      </c>
      <c r="B18" s="11" t="s">
        <v>26</v>
      </c>
      <c r="C18" s="32">
        <f>+I21/G18</f>
        <v>1793.9965688803031</v>
      </c>
      <c r="D18" s="28">
        <f>'Credit Values'!J80</f>
        <v>1.6016</v>
      </c>
      <c r="E18" s="83">
        <f>'Credit Values'!$B$36</f>
        <v>1</v>
      </c>
      <c r="F18" s="52">
        <f>'Credit Values'!J81</f>
        <v>2.0407407407407407</v>
      </c>
      <c r="G18" s="82">
        <f t="shared" si="0"/>
        <v>3.26845037037037</v>
      </c>
      <c r="H18" s="36">
        <f>+C18*G18</f>
        <v>5863.58875</v>
      </c>
      <c r="I18" s="37"/>
    </row>
    <row r="19" spans="1:9" ht="12.75">
      <c r="A19" s="10" t="s">
        <v>38</v>
      </c>
      <c r="B19" s="11" t="s">
        <v>42</v>
      </c>
      <c r="C19" s="32">
        <v>0</v>
      </c>
      <c r="D19" s="83">
        <f>'Credit Values'!$J$104</f>
        <v>1</v>
      </c>
      <c r="E19" s="83">
        <f>'Credit Values'!$B$37</f>
        <v>0.15</v>
      </c>
      <c r="F19" s="82">
        <f>'Credit Values'!$J$105</f>
        <v>1</v>
      </c>
      <c r="G19" s="82">
        <f t="shared" si="0"/>
        <v>0.15</v>
      </c>
      <c r="H19" s="38">
        <f>+C19*G19</f>
        <v>0</v>
      </c>
      <c r="I19" s="39"/>
    </row>
    <row r="20" spans="1:9" ht="12.75">
      <c r="A20" s="87">
        <f>Sales!O54</f>
        <v>234543.55</v>
      </c>
      <c r="B20" s="11" t="s">
        <v>58</v>
      </c>
      <c r="C20" s="32">
        <v>0</v>
      </c>
      <c r="D20" s="28">
        <f>'Credit Values'!J84</f>
        <v>1.24</v>
      </c>
      <c r="E20" s="83">
        <f>'Credit Values'!$B$36</f>
        <v>1</v>
      </c>
      <c r="F20" s="52">
        <f>'Credit Values'!J85</f>
        <v>1.4524328249818448</v>
      </c>
      <c r="G20" s="82">
        <f t="shared" si="0"/>
        <v>1.8010167029774875</v>
      </c>
      <c r="H20" s="38">
        <f>+C20*G20</f>
        <v>0</v>
      </c>
      <c r="I20" s="39"/>
    </row>
    <row r="21" spans="1:9" ht="12.75">
      <c r="A21" s="10"/>
      <c r="B21" s="11" t="s">
        <v>37</v>
      </c>
      <c r="C21" s="32">
        <f>+SUM(C18:C20)</f>
        <v>1793.9965688803031</v>
      </c>
      <c r="D21" s="28"/>
      <c r="E21" s="47" t="s">
        <v>40</v>
      </c>
      <c r="F21" s="43"/>
      <c r="G21" s="82"/>
      <c r="H21" s="40">
        <f>+SUM(H18:H20)</f>
        <v>5863.58875</v>
      </c>
      <c r="I21" s="41">
        <f>+A20*0.025</f>
        <v>5863.58875</v>
      </c>
    </row>
    <row r="22" spans="1:9" ht="12.75">
      <c r="A22" s="12" t="s">
        <v>22</v>
      </c>
      <c r="B22" s="16" t="s">
        <v>6</v>
      </c>
      <c r="C22" s="31">
        <f>+I25/G22</f>
        <v>469.0938112633508</v>
      </c>
      <c r="D22" s="27">
        <f>'Credit Values'!J88</f>
        <v>1.6320000000000001</v>
      </c>
      <c r="E22" s="27">
        <f>'Credit Values'!$B$36</f>
        <v>1</v>
      </c>
      <c r="F22" s="51">
        <f>'Credit Values'!J89</f>
        <v>2.859895833333333</v>
      </c>
      <c r="G22" s="51">
        <f>+D22*E22*F22</f>
        <v>4.66735</v>
      </c>
      <c r="H22" s="34">
        <f>+C22*G22</f>
        <v>2189.425</v>
      </c>
      <c r="I22" s="42"/>
    </row>
    <row r="23" spans="1:9" ht="12.75">
      <c r="A23" s="14" t="s">
        <v>38</v>
      </c>
      <c r="B23" s="16" t="s">
        <v>42</v>
      </c>
      <c r="C23" s="31">
        <v>0</v>
      </c>
      <c r="D23" s="27">
        <f>'Credit Values'!$J$104</f>
        <v>1</v>
      </c>
      <c r="E23" s="27">
        <f>'Credit Values'!$B$37</f>
        <v>0.15</v>
      </c>
      <c r="F23" s="51">
        <f>'Credit Values'!$J$105</f>
        <v>1</v>
      </c>
      <c r="G23" s="51">
        <f>+D23*E23*F23</f>
        <v>0.15</v>
      </c>
      <c r="H23" s="34">
        <f>+C23*G23</f>
        <v>0</v>
      </c>
      <c r="I23" s="42"/>
    </row>
    <row r="24" spans="1:9" ht="12.75">
      <c r="A24" s="86">
        <f>Sales!O58</f>
        <v>87577</v>
      </c>
      <c r="B24" s="7" t="s">
        <v>59</v>
      </c>
      <c r="C24" s="30">
        <v>0</v>
      </c>
      <c r="D24" s="27">
        <f>'Credit Values'!J92</f>
        <v>1.08</v>
      </c>
      <c r="E24" s="27">
        <f>'Credit Values'!$B$36</f>
        <v>1</v>
      </c>
      <c r="F24" s="51">
        <f>'Credit Values'!J93</f>
        <v>1.9480029048656502</v>
      </c>
      <c r="G24" s="51">
        <f>+D24*E24*F24</f>
        <v>2.1038431372549025</v>
      </c>
      <c r="H24" s="34">
        <f>+C24*G24</f>
        <v>0</v>
      </c>
      <c r="I24" s="42"/>
    </row>
    <row r="25" spans="1:9" ht="12.75">
      <c r="A25" s="14"/>
      <c r="B25" s="15" t="s">
        <v>37</v>
      </c>
      <c r="C25" s="30">
        <f>+SUM(C22:C24)</f>
        <v>469.0938112633508</v>
      </c>
      <c r="D25" s="27"/>
      <c r="E25" s="27" t="s">
        <v>40</v>
      </c>
      <c r="F25" s="13"/>
      <c r="G25" s="51"/>
      <c r="H25" s="30">
        <f>+SUM(H22:H24)</f>
        <v>2189.425</v>
      </c>
      <c r="I25" s="42">
        <f>+A24*0.025</f>
        <v>2189.425</v>
      </c>
    </row>
    <row r="26" spans="1:9" ht="12.75">
      <c r="A26" s="9" t="s">
        <v>23</v>
      </c>
      <c r="B26" s="11" t="s">
        <v>7</v>
      </c>
      <c r="C26" s="32">
        <f>+I29/G26</f>
        <v>1743.378362539265</v>
      </c>
      <c r="D26" s="28">
        <f>'Credit Values'!J96</f>
        <v>1.7392000000000003</v>
      </c>
      <c r="E26" s="83">
        <f>'Credit Values'!$B$36</f>
        <v>1</v>
      </c>
      <c r="F26" s="47">
        <f>'Credit Values'!J97</f>
        <v>2.7354666666666665</v>
      </c>
      <c r="G26" s="82">
        <f>+D26*E26*F26</f>
        <v>4.757523626666667</v>
      </c>
      <c r="H26" s="36">
        <f>+C26*G26</f>
        <v>8294.16375</v>
      </c>
      <c r="I26" s="37"/>
    </row>
    <row r="27" spans="1:9" ht="12.75">
      <c r="A27" s="10" t="s">
        <v>38</v>
      </c>
      <c r="B27" s="2" t="s">
        <v>42</v>
      </c>
      <c r="C27" s="32">
        <v>0</v>
      </c>
      <c r="D27" s="83">
        <f>'Credit Values'!$J$104</f>
        <v>1</v>
      </c>
      <c r="E27" s="83">
        <f>'Credit Values'!$B$37</f>
        <v>0.15</v>
      </c>
      <c r="F27" s="82">
        <f>'Credit Values'!$J$105</f>
        <v>1</v>
      </c>
      <c r="G27" s="82">
        <f>+D27*E27*F27</f>
        <v>0.15</v>
      </c>
      <c r="H27" s="38">
        <f>+C27*G27</f>
        <v>0</v>
      </c>
      <c r="I27" s="39"/>
    </row>
    <row r="28" spans="1:9" ht="12.75">
      <c r="A28" s="87">
        <f>Sales!O62</f>
        <v>331766.55</v>
      </c>
      <c r="B28" s="11" t="s">
        <v>60</v>
      </c>
      <c r="C28" s="32">
        <v>0</v>
      </c>
      <c r="D28" s="28">
        <f>'Credit Values'!J100</f>
        <v>1.08</v>
      </c>
      <c r="E28" s="83">
        <f>'Credit Values'!$B$36</f>
        <v>1</v>
      </c>
      <c r="F28" s="52">
        <f>'Credit Values'!J101</f>
        <v>1.8503994190268702</v>
      </c>
      <c r="G28" s="82">
        <f>+D28*E28*F28</f>
        <v>1.99843137254902</v>
      </c>
      <c r="H28" s="38">
        <f>+C28*G28</f>
        <v>0</v>
      </c>
      <c r="I28" s="39"/>
    </row>
    <row r="29" spans="1:11" ht="12.75">
      <c r="A29" s="4"/>
      <c r="B29" s="1" t="s">
        <v>37</v>
      </c>
      <c r="C29" s="32">
        <f>+SUM(C26:C28)</f>
        <v>1743.378362539265</v>
      </c>
      <c r="D29" s="28"/>
      <c r="E29" s="29" t="s">
        <v>40</v>
      </c>
      <c r="F29" s="43"/>
      <c r="G29" s="52"/>
      <c r="H29" s="40">
        <f>+SUM(H26:H28)</f>
        <v>8294.16375</v>
      </c>
      <c r="I29" s="41">
        <f>+A28*0.025</f>
        <v>8294.16375</v>
      </c>
      <c r="J29" s="105" t="s">
        <v>178</v>
      </c>
      <c r="K29" s="105" t="s">
        <v>47</v>
      </c>
    </row>
    <row r="30" spans="7:11" ht="12.75">
      <c r="G30" s="85"/>
      <c r="H30" s="33"/>
      <c r="I30" s="22"/>
      <c r="J30" s="105" t="s">
        <v>12</v>
      </c>
      <c r="K30" s="105" t="s">
        <v>179</v>
      </c>
    </row>
    <row r="31" spans="1:11" ht="12.75">
      <c r="A31" s="88">
        <f>+A28+A24+A20+A16+A12+A8</f>
        <v>1770372.5999999999</v>
      </c>
      <c r="B31" s="7" t="s">
        <v>35</v>
      </c>
      <c r="C31" s="26">
        <f>+C29+C25+C21+C17+C13+C9</f>
        <v>13796.035705327518</v>
      </c>
      <c r="D31" s="25"/>
      <c r="E31" s="25"/>
      <c r="F31" s="25"/>
      <c r="G31" s="84"/>
      <c r="H31" s="26">
        <f>+H29+H25+H21+H17+H13+H9</f>
        <v>44259.315</v>
      </c>
      <c r="I31" s="26">
        <f>+I29+I25+I21+I17+I13+I9</f>
        <v>44259.315</v>
      </c>
      <c r="J31" s="106">
        <f>I31/C31</f>
        <v>3.208118327999738</v>
      </c>
      <c r="K31" s="107">
        <f>'Fleet totals'!F13/J31</f>
        <v>0.007792730019278156</v>
      </c>
    </row>
    <row r="32" ht="12.75">
      <c r="G32" s="85"/>
    </row>
    <row r="33" spans="1:9" ht="12.75">
      <c r="A33" s="7" t="s">
        <v>126</v>
      </c>
      <c r="B33" s="7"/>
      <c r="C33" s="31">
        <f>+I33/G33</f>
        <v>10669.656294642857</v>
      </c>
      <c r="D33" s="27">
        <f>'Credit Values'!J108</f>
        <v>2.4000000000000004</v>
      </c>
      <c r="E33" s="27">
        <f>'Credit Values'!$B$36</f>
        <v>1</v>
      </c>
      <c r="F33" s="84">
        <f>'Credit Values'!J109</f>
        <v>1.728395061728395</v>
      </c>
      <c r="G33" s="27">
        <f>+D33*E33*F33</f>
        <v>4.148148148148149</v>
      </c>
      <c r="H33" s="31">
        <f>+C33*G33</f>
        <v>44259.315</v>
      </c>
      <c r="I33" s="26">
        <f>+I31+I27+I23+I19+I15+I11</f>
        <v>44259.315</v>
      </c>
    </row>
  </sheetData>
  <mergeCells count="1">
    <mergeCell ref="D3:F3"/>
  </mergeCells>
  <printOptions/>
  <pageMargins left="0.75" right="0.75" top="1" bottom="1" header="0.5" footer="0.5"/>
  <pageSetup fitToHeight="1" fitToWidth="1" horizontalDpi="600" verticalDpi="600" orientation="landscape" r:id="rId4"/>
  <headerFooter alignWithMargins="0">
    <oddHeader>&amp;C&amp;"Arial,Bold"&amp;20Includes Intermediate Manufacturers</oddHeader>
  </headerFooter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33"/>
  <sheetViews>
    <sheetView zoomScale="75" zoomScaleNormal="75" workbookViewId="0" topLeftCell="A1">
      <selection activeCell="R38" sqref="R38"/>
    </sheetView>
  </sheetViews>
  <sheetFormatPr defaultColWidth="9.140625" defaultRowHeight="12.75"/>
  <cols>
    <col min="1" max="1" width="13.421875" style="0" customWidth="1"/>
    <col min="2" max="2" width="17.421875" style="0" customWidth="1"/>
    <col min="6" max="6" width="10.7109375" style="0" customWidth="1"/>
    <col min="7" max="7" width="11.28125" style="0" customWidth="1"/>
    <col min="11" max="11" width="12.00390625" style="0" customWidth="1"/>
  </cols>
  <sheetData>
    <row r="1" ht="12.75">
      <c r="A1" t="s">
        <v>149</v>
      </c>
    </row>
    <row r="2" ht="12.75">
      <c r="D2" s="2"/>
    </row>
    <row r="3" spans="1:9" ht="12.75">
      <c r="A3" s="9" t="s">
        <v>17</v>
      </c>
      <c r="B3" s="19" t="s">
        <v>11</v>
      </c>
      <c r="C3" s="19" t="s">
        <v>55</v>
      </c>
      <c r="D3" s="135" t="s">
        <v>12</v>
      </c>
      <c r="E3" s="140"/>
      <c r="F3" s="136"/>
      <c r="G3" s="19" t="s">
        <v>35</v>
      </c>
      <c r="H3" s="9" t="s">
        <v>29</v>
      </c>
      <c r="I3" s="9" t="s">
        <v>39</v>
      </c>
    </row>
    <row r="4" spans="1:9" ht="12.75">
      <c r="A4" s="4"/>
      <c r="B4" s="4"/>
      <c r="C4" s="4" t="s">
        <v>30</v>
      </c>
      <c r="D4" s="18" t="s">
        <v>28</v>
      </c>
      <c r="E4" s="17" t="s">
        <v>54</v>
      </c>
      <c r="F4" s="6" t="s">
        <v>48</v>
      </c>
      <c r="G4" s="4" t="s">
        <v>56</v>
      </c>
      <c r="H4" s="4" t="s">
        <v>36</v>
      </c>
      <c r="I4" s="4" t="s">
        <v>36</v>
      </c>
    </row>
    <row r="5" spans="1:9" ht="12.75">
      <c r="A5" s="10"/>
      <c r="B5" s="4"/>
      <c r="C5" s="4"/>
      <c r="D5" s="18"/>
      <c r="E5" s="17" t="s">
        <v>40</v>
      </c>
      <c r="F5" s="6" t="s">
        <v>40</v>
      </c>
      <c r="G5" s="4"/>
      <c r="H5" s="6"/>
      <c r="I5" s="10"/>
    </row>
    <row r="6" spans="1:9" ht="12.75">
      <c r="A6" s="12" t="s">
        <v>18</v>
      </c>
      <c r="B6" s="15" t="s">
        <v>24</v>
      </c>
      <c r="C6" s="30">
        <f>+I9/G6</f>
        <v>5130.391274581786</v>
      </c>
      <c r="D6" s="27">
        <f>'Credit Values'!K56</f>
        <v>1.252</v>
      </c>
      <c r="E6" s="27">
        <f>'Credit Values'!$C$36</f>
        <v>1</v>
      </c>
      <c r="F6" s="51">
        <f>'Credit Values'!K57</f>
        <v>1.504672897196262</v>
      </c>
      <c r="G6" s="51">
        <f>+D6*E6*F6</f>
        <v>1.88385046728972</v>
      </c>
      <c r="H6" s="34">
        <f>+C6*G6</f>
        <v>9664.89</v>
      </c>
      <c r="I6" s="30"/>
    </row>
    <row r="7" spans="1:9" ht="12.75">
      <c r="A7" s="14" t="s">
        <v>38</v>
      </c>
      <c r="B7" s="7" t="s">
        <v>42</v>
      </c>
      <c r="C7" s="31">
        <v>0</v>
      </c>
      <c r="D7" s="27">
        <f>'Credit Values'!$K$104</f>
        <v>1</v>
      </c>
      <c r="E7" s="27">
        <f>'Credit Values'!$C$37</f>
        <v>0.15</v>
      </c>
      <c r="F7" s="51">
        <f>'Credit Values'!$K$105</f>
        <v>1</v>
      </c>
      <c r="G7" s="51">
        <f>+D7*E7*F7</f>
        <v>0.15</v>
      </c>
      <c r="H7" s="34">
        <f>+C7*G7</f>
        <v>0</v>
      </c>
      <c r="I7" s="42"/>
    </row>
    <row r="8" spans="1:9" ht="12.75">
      <c r="A8" s="86">
        <f>Sales!Q42</f>
        <v>322163</v>
      </c>
      <c r="B8" s="7" t="s">
        <v>27</v>
      </c>
      <c r="C8" s="31">
        <v>0</v>
      </c>
      <c r="D8" s="27">
        <f>'Credit Values'!K60</f>
        <v>1</v>
      </c>
      <c r="E8" s="27">
        <f>'Credit Values'!$C$36</f>
        <v>1</v>
      </c>
      <c r="F8" s="51">
        <f>'Credit Values'!K61</f>
        <v>1.3507625272331156</v>
      </c>
      <c r="G8" s="51">
        <f>+D8*E8*F8</f>
        <v>1.3507625272331156</v>
      </c>
      <c r="H8" s="34">
        <f>+C8*G8</f>
        <v>0</v>
      </c>
      <c r="I8" s="42"/>
    </row>
    <row r="9" spans="1:9" ht="12.75">
      <c r="A9" s="14"/>
      <c r="B9" s="16" t="s">
        <v>37</v>
      </c>
      <c r="C9" s="31">
        <f>+SUM(C6:C8)</f>
        <v>5130.391274581786</v>
      </c>
      <c r="D9" s="27"/>
      <c r="E9" s="27" t="s">
        <v>40</v>
      </c>
      <c r="F9" s="13"/>
      <c r="G9" s="51"/>
      <c r="H9" s="30">
        <f>+SUM(H6:H8)</f>
        <v>9664.89</v>
      </c>
      <c r="I9" s="44">
        <f>+A8*0.03</f>
        <v>9664.89</v>
      </c>
    </row>
    <row r="10" spans="1:9" ht="12.75">
      <c r="A10" s="9" t="s">
        <v>19</v>
      </c>
      <c r="B10" s="11" t="s">
        <v>34</v>
      </c>
      <c r="C10" s="32">
        <f>+I13/G10</f>
        <v>4837.481644684934</v>
      </c>
      <c r="D10" s="28">
        <f>'Credit Values'!K64</f>
        <v>1.192</v>
      </c>
      <c r="E10" s="83">
        <f>'Credit Values'!$C$36</f>
        <v>1</v>
      </c>
      <c r="F10" s="52">
        <f>'Credit Values'!K65</f>
        <v>2.2048</v>
      </c>
      <c r="G10" s="82">
        <f>+D10*E10*F10</f>
        <v>2.6281216</v>
      </c>
      <c r="H10" s="36">
        <f>+C10*G10</f>
        <v>12713.49</v>
      </c>
      <c r="I10" s="37"/>
    </row>
    <row r="11" spans="1:9" ht="12.75">
      <c r="A11" s="10" t="s">
        <v>38</v>
      </c>
      <c r="B11" s="11" t="s">
        <v>42</v>
      </c>
      <c r="C11" s="32">
        <v>0</v>
      </c>
      <c r="D11" s="83">
        <f>'Credit Values'!$K$104</f>
        <v>1</v>
      </c>
      <c r="E11" s="83">
        <f>'Credit Values'!$C$37</f>
        <v>0.15</v>
      </c>
      <c r="F11" s="82">
        <f>'Credit Values'!$K$105</f>
        <v>1</v>
      </c>
      <c r="G11" s="82">
        <f>+D11*E11*F11</f>
        <v>0.15</v>
      </c>
      <c r="H11" s="38">
        <f>+C11*G11</f>
        <v>0</v>
      </c>
      <c r="I11" s="39"/>
    </row>
    <row r="12" spans="1:9" ht="12.75">
      <c r="A12" s="87">
        <f>Sales!Q46</f>
        <v>423783</v>
      </c>
      <c r="B12" s="11" t="s">
        <v>57</v>
      </c>
      <c r="C12" s="32">
        <v>0</v>
      </c>
      <c r="D12" s="28">
        <f>'Credit Values'!K68</f>
        <v>1</v>
      </c>
      <c r="E12" s="83">
        <f>'Credit Values'!$C$36</f>
        <v>1</v>
      </c>
      <c r="F12" s="52">
        <f>'Credit Values'!K69</f>
        <v>1.3500363108206248</v>
      </c>
      <c r="G12" s="82">
        <f>+D12*E12*F12</f>
        <v>1.3500363108206248</v>
      </c>
      <c r="H12" s="38">
        <f>+C12*G12</f>
        <v>0</v>
      </c>
      <c r="I12" s="39"/>
    </row>
    <row r="13" spans="1:9" ht="12.75">
      <c r="A13" s="4"/>
      <c r="B13" s="11" t="s">
        <v>37</v>
      </c>
      <c r="C13" s="32">
        <f>+SUM(C10:C12)</f>
        <v>4837.481644684934</v>
      </c>
      <c r="D13" s="28"/>
      <c r="E13" s="47" t="s">
        <v>40</v>
      </c>
      <c r="F13" s="43"/>
      <c r="G13" s="82"/>
      <c r="H13" s="40">
        <f>+SUM(H10:H12)</f>
        <v>12713.49</v>
      </c>
      <c r="I13" s="41">
        <f>+A12*0.03</f>
        <v>12713.49</v>
      </c>
    </row>
    <row r="14" spans="1:9" ht="12.75">
      <c r="A14" s="12" t="s">
        <v>20</v>
      </c>
      <c r="B14" s="7" t="s">
        <v>25</v>
      </c>
      <c r="C14" s="31">
        <f>+I17/G14</f>
        <v>3573.0422343597456</v>
      </c>
      <c r="D14" s="27">
        <f>'Credit Values'!K72</f>
        <v>1.3666</v>
      </c>
      <c r="E14" s="27">
        <f>'Credit Values'!$C$36</f>
        <v>1</v>
      </c>
      <c r="F14" s="51">
        <f>'Credit Values'!K73</f>
        <v>2.8174291938997817</v>
      </c>
      <c r="G14" s="51">
        <f aca="true" t="shared" si="0" ref="G14:G20">+D14*E14*F14</f>
        <v>3.8502987363834418</v>
      </c>
      <c r="H14" s="34">
        <f>+C14*G14</f>
        <v>13757.279999999999</v>
      </c>
      <c r="I14" s="42"/>
    </row>
    <row r="15" spans="1:10" ht="12.75">
      <c r="A15" s="14" t="s">
        <v>38</v>
      </c>
      <c r="B15" s="15" t="s">
        <v>42</v>
      </c>
      <c r="C15" s="31">
        <v>0</v>
      </c>
      <c r="D15" s="27">
        <f>'Credit Values'!$K$104</f>
        <v>1</v>
      </c>
      <c r="E15" s="27">
        <f>'Credit Values'!$C$37</f>
        <v>0.15</v>
      </c>
      <c r="F15" s="51">
        <f>'Credit Values'!$K$105</f>
        <v>1</v>
      </c>
      <c r="G15" s="51">
        <f t="shared" si="0"/>
        <v>0.15</v>
      </c>
      <c r="H15" s="34">
        <f>+C15*G15</f>
        <v>0</v>
      </c>
      <c r="I15" s="42"/>
      <c r="J15" s="23"/>
    </row>
    <row r="16" spans="1:9" ht="12.75">
      <c r="A16" s="86">
        <f>Sales!Q50</f>
        <v>458576</v>
      </c>
      <c r="B16" s="7" t="s">
        <v>27</v>
      </c>
      <c r="C16" s="31">
        <v>0</v>
      </c>
      <c r="D16" s="27">
        <f>'Credit Values'!K76</f>
        <v>1</v>
      </c>
      <c r="E16" s="27">
        <f>'Credit Values'!$C$36</f>
        <v>1</v>
      </c>
      <c r="F16" s="51">
        <f>'Credit Values'!K77</f>
        <v>1.3507625272331156</v>
      </c>
      <c r="G16" s="51">
        <f t="shared" si="0"/>
        <v>1.3507625272331156</v>
      </c>
      <c r="H16" s="34">
        <f>+C16*G16</f>
        <v>0</v>
      </c>
      <c r="I16" s="42"/>
    </row>
    <row r="17" spans="1:9" ht="12.75">
      <c r="A17" s="13"/>
      <c r="B17" s="7" t="s">
        <v>37</v>
      </c>
      <c r="C17" s="31">
        <f>+SUM(C14:C16)</f>
        <v>3573.0422343597456</v>
      </c>
      <c r="D17" s="27"/>
      <c r="E17" s="27"/>
      <c r="F17" s="13"/>
      <c r="G17" s="51">
        <f t="shared" si="0"/>
        <v>0</v>
      </c>
      <c r="H17" s="30">
        <f>+SUM(H14:H16)</f>
        <v>13757.279999999999</v>
      </c>
      <c r="I17" s="42">
        <f>+A16*0.03</f>
        <v>13757.279999999999</v>
      </c>
    </row>
    <row r="18" spans="1:9" ht="12.75">
      <c r="A18" s="9" t="s">
        <v>21</v>
      </c>
      <c r="B18" s="11" t="s">
        <v>26</v>
      </c>
      <c r="C18" s="32">
        <f>+I21/G18</f>
        <v>2407.8827310072693</v>
      </c>
      <c r="D18" s="28">
        <f>'Credit Values'!K80</f>
        <v>1.4512</v>
      </c>
      <c r="E18" s="83">
        <f>'Credit Values'!$C$36</f>
        <v>1</v>
      </c>
      <c r="F18" s="52">
        <f>'Credit Values'!K81</f>
        <v>2.0407407407407407</v>
      </c>
      <c r="G18" s="82">
        <f t="shared" si="0"/>
        <v>2.961522962962963</v>
      </c>
      <c r="H18" s="36">
        <f>+C18*G18</f>
        <v>7131</v>
      </c>
      <c r="I18" s="37"/>
    </row>
    <row r="19" spans="1:9" ht="12.75">
      <c r="A19" s="10" t="s">
        <v>38</v>
      </c>
      <c r="B19" s="11" t="s">
        <v>42</v>
      </c>
      <c r="C19" s="32">
        <v>0</v>
      </c>
      <c r="D19" s="83">
        <f>'Credit Values'!$K$104</f>
        <v>1</v>
      </c>
      <c r="E19" s="83">
        <f>'Credit Values'!$C$37</f>
        <v>0.15</v>
      </c>
      <c r="F19" s="82">
        <f>'Credit Values'!$K$105</f>
        <v>1</v>
      </c>
      <c r="G19" s="82">
        <f t="shared" si="0"/>
        <v>0.15</v>
      </c>
      <c r="H19" s="38">
        <f>+C19*G19</f>
        <v>0</v>
      </c>
      <c r="I19" s="39"/>
    </row>
    <row r="20" spans="1:9" ht="12.75">
      <c r="A20" s="87">
        <f>Sales!Q54</f>
        <v>237700</v>
      </c>
      <c r="B20" s="11" t="s">
        <v>58</v>
      </c>
      <c r="C20" s="32">
        <v>0</v>
      </c>
      <c r="D20" s="28">
        <f>'Credit Values'!K84</f>
        <v>1.18</v>
      </c>
      <c r="E20" s="83">
        <f>'Credit Values'!$C$36</f>
        <v>1</v>
      </c>
      <c r="F20" s="52">
        <f>'Credit Values'!K85</f>
        <v>1.4524328249818448</v>
      </c>
      <c r="G20" s="82">
        <f t="shared" si="0"/>
        <v>1.7138707334785768</v>
      </c>
      <c r="H20" s="38">
        <f>+C20*G20</f>
        <v>0</v>
      </c>
      <c r="I20" s="39"/>
    </row>
    <row r="21" spans="1:9" ht="12.75">
      <c r="A21" s="10"/>
      <c r="B21" s="11" t="s">
        <v>37</v>
      </c>
      <c r="C21" s="32">
        <f>+SUM(C18:C20)</f>
        <v>2407.8827310072693</v>
      </c>
      <c r="D21" s="28"/>
      <c r="E21" s="47" t="s">
        <v>40</v>
      </c>
      <c r="F21" s="43"/>
      <c r="G21" s="82"/>
      <c r="H21" s="40">
        <f>+SUM(H18:H20)</f>
        <v>7131</v>
      </c>
      <c r="I21" s="41">
        <f>+A20*0.03</f>
        <v>7131</v>
      </c>
    </row>
    <row r="22" spans="1:9" ht="12.75">
      <c r="A22" s="12" t="s">
        <v>22</v>
      </c>
      <c r="B22" s="16" t="s">
        <v>6</v>
      </c>
      <c r="C22" s="31">
        <f>+I25/G22</f>
        <v>661.1478953966118</v>
      </c>
      <c r="D22" s="27">
        <f>'Credit Values'!K88</f>
        <v>1.474</v>
      </c>
      <c r="E22" s="27">
        <f>'Credit Values'!$C$36</f>
        <v>1</v>
      </c>
      <c r="F22" s="51">
        <f>'Credit Values'!K89</f>
        <v>2.859895833333333</v>
      </c>
      <c r="G22" s="51">
        <f>+D22*E22*F22</f>
        <v>4.2154864583333325</v>
      </c>
      <c r="H22" s="34">
        <f>+C22*G22</f>
        <v>2787.06</v>
      </c>
      <c r="I22" s="42"/>
    </row>
    <row r="23" spans="1:9" ht="12.75">
      <c r="A23" s="14" t="s">
        <v>38</v>
      </c>
      <c r="B23" s="16" t="s">
        <v>42</v>
      </c>
      <c r="C23" s="31">
        <v>0</v>
      </c>
      <c r="D23" s="27">
        <f>'Credit Values'!$K$104</f>
        <v>1</v>
      </c>
      <c r="E23" s="27">
        <f>'Credit Values'!$C$37</f>
        <v>0.15</v>
      </c>
      <c r="F23" s="51">
        <f>'Credit Values'!$K$105</f>
        <v>1</v>
      </c>
      <c r="G23" s="51">
        <f>+D23*E23*F23</f>
        <v>0.15</v>
      </c>
      <c r="H23" s="34">
        <f>+C23*G23</f>
        <v>0</v>
      </c>
      <c r="I23" s="42"/>
    </row>
    <row r="24" spans="1:9" ht="12.75">
      <c r="A24" s="86">
        <f>Sales!Q58</f>
        <v>92902</v>
      </c>
      <c r="B24" s="7" t="s">
        <v>59</v>
      </c>
      <c r="C24" s="30">
        <v>0</v>
      </c>
      <c r="D24" s="27">
        <f>'Credit Values'!K92</f>
        <v>1.06</v>
      </c>
      <c r="E24" s="27">
        <f>'Credit Values'!$C$36</f>
        <v>1</v>
      </c>
      <c r="F24" s="51">
        <f>'Credit Values'!K93</f>
        <v>1.9480029048656502</v>
      </c>
      <c r="G24" s="51">
        <f>+D24*E24*F24</f>
        <v>2.0648830791575894</v>
      </c>
      <c r="H24" s="34">
        <f>+C24*G24</f>
        <v>0</v>
      </c>
      <c r="I24" s="42"/>
    </row>
    <row r="25" spans="1:9" ht="12.75">
      <c r="A25" s="14"/>
      <c r="B25" s="15" t="s">
        <v>37</v>
      </c>
      <c r="C25" s="30">
        <f>+SUM(C22:C24)</f>
        <v>661.1478953966118</v>
      </c>
      <c r="D25" s="27"/>
      <c r="E25" s="27" t="s">
        <v>40</v>
      </c>
      <c r="F25" s="13"/>
      <c r="G25" s="51"/>
      <c r="H25" s="30">
        <f>+SUM(H22:H24)</f>
        <v>2787.06</v>
      </c>
      <c r="I25" s="42">
        <f>+A24*0.03</f>
        <v>2787.06</v>
      </c>
    </row>
    <row r="26" spans="1:9" ht="12.75">
      <c r="A26" s="9" t="s">
        <v>23</v>
      </c>
      <c r="B26" s="11" t="s">
        <v>7</v>
      </c>
      <c r="C26" s="32">
        <f>+I29/G26</f>
        <v>2456.410381583855</v>
      </c>
      <c r="D26" s="28">
        <f>'Credit Values'!K96</f>
        <v>1.5544000000000002</v>
      </c>
      <c r="E26" s="83">
        <f>'Credit Values'!$C$36</f>
        <v>1</v>
      </c>
      <c r="F26" s="47">
        <f>'Credit Values'!K97</f>
        <v>2.7354666666666665</v>
      </c>
      <c r="G26" s="82">
        <f>+D26*E26*F26</f>
        <v>4.252009386666667</v>
      </c>
      <c r="H26" s="36">
        <f>+C26*G26</f>
        <v>10444.68</v>
      </c>
      <c r="I26" s="37"/>
    </row>
    <row r="27" spans="1:9" ht="12.75">
      <c r="A27" s="10" t="s">
        <v>38</v>
      </c>
      <c r="B27" s="2" t="s">
        <v>42</v>
      </c>
      <c r="C27" s="32">
        <v>0</v>
      </c>
      <c r="D27" s="83">
        <f>'Credit Values'!$K$104</f>
        <v>1</v>
      </c>
      <c r="E27" s="83">
        <f>'Credit Values'!$C$37</f>
        <v>0.15</v>
      </c>
      <c r="F27" s="82">
        <f>'Credit Values'!$K$105</f>
        <v>1</v>
      </c>
      <c r="G27" s="82">
        <f>+D27*E27*F27</f>
        <v>0.15</v>
      </c>
      <c r="H27" s="38">
        <f>+C27*G27</f>
        <v>0</v>
      </c>
      <c r="I27" s="39"/>
    </row>
    <row r="28" spans="1:9" ht="12.75">
      <c r="A28" s="87">
        <f>Sales!Q62</f>
        <v>348156</v>
      </c>
      <c r="B28" s="11" t="s">
        <v>60</v>
      </c>
      <c r="C28" s="32">
        <v>0</v>
      </c>
      <c r="D28" s="28">
        <f>'Credit Values'!K100</f>
        <v>1.06</v>
      </c>
      <c r="E28" s="83">
        <f>'Credit Values'!$C$36</f>
        <v>1</v>
      </c>
      <c r="F28" s="52">
        <f>'Credit Values'!K101</f>
        <v>1.8503994190268702</v>
      </c>
      <c r="G28" s="82">
        <f>+D28*E28*F28</f>
        <v>1.9614233841684825</v>
      </c>
      <c r="H28" s="38">
        <f>+C28*G28</f>
        <v>0</v>
      </c>
      <c r="I28" s="39"/>
    </row>
    <row r="29" spans="1:11" ht="12.75">
      <c r="A29" s="4"/>
      <c r="B29" s="1" t="s">
        <v>37</v>
      </c>
      <c r="C29" s="32">
        <f>+SUM(C26:C28)</f>
        <v>2456.410381583855</v>
      </c>
      <c r="D29" s="28"/>
      <c r="E29" s="29" t="s">
        <v>40</v>
      </c>
      <c r="F29" s="43"/>
      <c r="G29" s="52"/>
      <c r="H29" s="40">
        <f>+SUM(H26:H28)</f>
        <v>10444.68</v>
      </c>
      <c r="I29" s="41">
        <f>+A28*0.03</f>
        <v>10444.68</v>
      </c>
      <c r="J29" s="105" t="s">
        <v>178</v>
      </c>
      <c r="K29" s="105" t="s">
        <v>47</v>
      </c>
    </row>
    <row r="30" spans="7:11" ht="12.75">
      <c r="G30" s="85"/>
      <c r="H30" s="33"/>
      <c r="I30" s="22"/>
      <c r="J30" s="105" t="s">
        <v>12</v>
      </c>
      <c r="K30" s="105" t="s">
        <v>179</v>
      </c>
    </row>
    <row r="31" spans="1:11" ht="12.75">
      <c r="A31" s="88">
        <f>+A28+A24+A20+A16+A12+A8</f>
        <v>1883280</v>
      </c>
      <c r="B31" s="7" t="s">
        <v>35</v>
      </c>
      <c r="C31" s="26">
        <f>+C29+C25+C21+C17+C13+C9</f>
        <v>19066.356161614203</v>
      </c>
      <c r="D31" s="25"/>
      <c r="E31" s="25"/>
      <c r="F31" s="25"/>
      <c r="G31" s="84"/>
      <c r="H31" s="26">
        <f>+H29+H25+H21+H17+H13+H9</f>
        <v>56498.399999999994</v>
      </c>
      <c r="I31" s="26">
        <f>+I29+I25+I21+I17+I13+I9</f>
        <v>56498.399999999994</v>
      </c>
      <c r="J31" s="106">
        <f>I31/C31</f>
        <v>2.963251054427838</v>
      </c>
      <c r="K31" s="107">
        <f>'Fleet totals'!F14/J31</f>
        <v>0.010124015633158217</v>
      </c>
    </row>
    <row r="32" ht="12.75">
      <c r="G32" s="85"/>
    </row>
    <row r="33" spans="1:9" ht="12.75">
      <c r="A33" s="7" t="s">
        <v>126</v>
      </c>
      <c r="B33" s="7"/>
      <c r="C33" s="31">
        <f>+I33/G33</f>
        <v>18679.062857142857</v>
      </c>
      <c r="D33" s="27">
        <f>'Credit Values'!K108</f>
        <v>1.75</v>
      </c>
      <c r="E33" s="27">
        <f>'Credit Values'!$C$36</f>
        <v>1</v>
      </c>
      <c r="F33" s="84">
        <f>'Credit Values'!K109</f>
        <v>1.728395061728395</v>
      </c>
      <c r="G33" s="27">
        <f>+D33*E33*F33</f>
        <v>3.024691358024691</v>
      </c>
      <c r="H33" s="31">
        <f>+C33*G33</f>
        <v>56498.399999999994</v>
      </c>
      <c r="I33" s="26">
        <f>+I31+I27+I23+I19+I15+I11</f>
        <v>56498.399999999994</v>
      </c>
    </row>
  </sheetData>
  <mergeCells count="1">
    <mergeCell ref="D3:F3"/>
  </mergeCells>
  <printOptions/>
  <pageMargins left="0.75" right="0.75" top="1" bottom="1" header="0.5" footer="0.5"/>
  <pageSetup fitToHeight="1" fitToWidth="1" horizontalDpi="600" verticalDpi="600" orientation="landscape" r:id="rId4"/>
  <headerFooter alignWithMargins="0">
    <oddHeader>&amp;C&amp;"Arial,Bold"&amp;20Includes Intermediate Manufacturers</oddHeader>
  </headerFooter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K33"/>
  <sheetViews>
    <sheetView zoomScale="75" zoomScaleNormal="75" workbookViewId="0" topLeftCell="A1">
      <selection activeCell="R38" sqref="R38"/>
    </sheetView>
  </sheetViews>
  <sheetFormatPr defaultColWidth="9.140625" defaultRowHeight="12.75"/>
  <cols>
    <col min="1" max="1" width="13.421875" style="0" customWidth="1"/>
    <col min="2" max="2" width="17.421875" style="0" customWidth="1"/>
    <col min="6" max="6" width="10.7109375" style="0" customWidth="1"/>
    <col min="7" max="7" width="11.28125" style="0" customWidth="1"/>
    <col min="11" max="11" width="12.140625" style="0" customWidth="1"/>
  </cols>
  <sheetData>
    <row r="1" ht="12.75">
      <c r="A1" t="s">
        <v>150</v>
      </c>
    </row>
    <row r="2" ht="12.75">
      <c r="D2" s="2"/>
    </row>
    <row r="3" spans="1:9" ht="12.75">
      <c r="A3" s="9" t="s">
        <v>17</v>
      </c>
      <c r="B3" s="19" t="s">
        <v>11</v>
      </c>
      <c r="C3" s="19" t="s">
        <v>55</v>
      </c>
      <c r="D3" s="135" t="s">
        <v>12</v>
      </c>
      <c r="E3" s="140"/>
      <c r="F3" s="136"/>
      <c r="G3" s="19" t="s">
        <v>35</v>
      </c>
      <c r="H3" s="9" t="s">
        <v>29</v>
      </c>
      <c r="I3" s="9" t="s">
        <v>39</v>
      </c>
    </row>
    <row r="4" spans="1:9" ht="12.75">
      <c r="A4" s="4"/>
      <c r="B4" s="4"/>
      <c r="C4" s="4" t="s">
        <v>30</v>
      </c>
      <c r="D4" s="18" t="s">
        <v>28</v>
      </c>
      <c r="E4" s="17" t="s">
        <v>54</v>
      </c>
      <c r="F4" s="6" t="s">
        <v>48</v>
      </c>
      <c r="G4" s="4" t="s">
        <v>56</v>
      </c>
      <c r="H4" s="4" t="s">
        <v>36</v>
      </c>
      <c r="I4" s="4" t="s">
        <v>36</v>
      </c>
    </row>
    <row r="5" spans="1:9" ht="12.75">
      <c r="A5" s="10"/>
      <c r="B5" s="4"/>
      <c r="C5" s="4"/>
      <c r="D5" s="18"/>
      <c r="E5" s="17" t="s">
        <v>40</v>
      </c>
      <c r="F5" s="6" t="s">
        <v>40</v>
      </c>
      <c r="G5" s="4"/>
      <c r="H5" s="6"/>
      <c r="I5" s="10"/>
    </row>
    <row r="6" spans="1:9" ht="12.75">
      <c r="A6" s="12" t="s">
        <v>18</v>
      </c>
      <c r="B6" s="15" t="s">
        <v>24</v>
      </c>
      <c r="C6" s="30">
        <f>+I9/G6</f>
        <v>5130.391274581786</v>
      </c>
      <c r="D6" s="27">
        <f>'Credit Values'!K56</f>
        <v>1.252</v>
      </c>
      <c r="E6" s="27">
        <f>'Credit Values'!$D$36</f>
        <v>1</v>
      </c>
      <c r="F6" s="51">
        <f>'Credit Values'!K57</f>
        <v>1.504672897196262</v>
      </c>
      <c r="G6" s="51">
        <f>+D6*E6*F6</f>
        <v>1.88385046728972</v>
      </c>
      <c r="H6" s="34">
        <f>+C6*G6</f>
        <v>9664.89</v>
      </c>
      <c r="I6" s="30"/>
    </row>
    <row r="7" spans="1:9" ht="12.75">
      <c r="A7" s="14" t="s">
        <v>38</v>
      </c>
      <c r="B7" s="7" t="s">
        <v>42</v>
      </c>
      <c r="C7" s="31">
        <v>0</v>
      </c>
      <c r="D7" s="27">
        <f>'Credit Values'!$K$104</f>
        <v>1</v>
      </c>
      <c r="E7" s="27">
        <f>'Credit Values'!$D$37</f>
        <v>0.15</v>
      </c>
      <c r="F7" s="51">
        <f>'Credit Values'!$K$105</f>
        <v>1</v>
      </c>
      <c r="G7" s="51">
        <f>+D7*E7*F7</f>
        <v>0.15</v>
      </c>
      <c r="H7" s="34">
        <f>+C7*G7</f>
        <v>0</v>
      </c>
      <c r="I7" s="42"/>
    </row>
    <row r="8" spans="1:9" ht="12.75">
      <c r="A8" s="86">
        <f>Sales!R42</f>
        <v>322163</v>
      </c>
      <c r="B8" s="7" t="s">
        <v>27</v>
      </c>
      <c r="C8" s="31">
        <v>0</v>
      </c>
      <c r="D8" s="27">
        <f>'Credit Values'!K60</f>
        <v>1</v>
      </c>
      <c r="E8" s="27">
        <f>'Credit Values'!$D$36</f>
        <v>1</v>
      </c>
      <c r="F8" s="51">
        <f>'Credit Values'!K61</f>
        <v>1.3507625272331156</v>
      </c>
      <c r="G8" s="51">
        <f>+D8*E8*F8</f>
        <v>1.3507625272331156</v>
      </c>
      <c r="H8" s="34">
        <f>+C8*G8</f>
        <v>0</v>
      </c>
      <c r="I8" s="42"/>
    </row>
    <row r="9" spans="1:9" ht="12.75">
      <c r="A9" s="14"/>
      <c r="B9" s="16" t="s">
        <v>37</v>
      </c>
      <c r="C9" s="31">
        <f>+SUM(C6:C8)</f>
        <v>5130.391274581786</v>
      </c>
      <c r="D9" s="27"/>
      <c r="E9" s="27" t="s">
        <v>40</v>
      </c>
      <c r="F9" s="13"/>
      <c r="G9" s="51"/>
      <c r="H9" s="30">
        <f>+SUM(H6:H8)</f>
        <v>9664.89</v>
      </c>
      <c r="I9" s="44">
        <f>+A8*0.03</f>
        <v>9664.89</v>
      </c>
    </row>
    <row r="10" spans="1:9" ht="12.75">
      <c r="A10" s="9" t="s">
        <v>19</v>
      </c>
      <c r="B10" s="11" t="s">
        <v>34</v>
      </c>
      <c r="C10" s="32">
        <f>+I13/G10</f>
        <v>4837.481644684934</v>
      </c>
      <c r="D10" s="28">
        <f>'Credit Values'!K64</f>
        <v>1.192</v>
      </c>
      <c r="E10" s="83">
        <f>'Credit Values'!$D$36</f>
        <v>1</v>
      </c>
      <c r="F10" s="52">
        <f>'Credit Values'!K65</f>
        <v>2.2048</v>
      </c>
      <c r="G10" s="82">
        <f>+D10*E10*F10</f>
        <v>2.6281216</v>
      </c>
      <c r="H10" s="36">
        <f>+C10*G10</f>
        <v>12713.49</v>
      </c>
      <c r="I10" s="37"/>
    </row>
    <row r="11" spans="1:9" ht="12.75">
      <c r="A11" s="10" t="s">
        <v>38</v>
      </c>
      <c r="B11" s="11" t="s">
        <v>42</v>
      </c>
      <c r="C11" s="32">
        <v>0</v>
      </c>
      <c r="D11" s="83">
        <f>'Credit Values'!$K$104</f>
        <v>1</v>
      </c>
      <c r="E11" s="83">
        <f>'Credit Values'!$D$37</f>
        <v>0.15</v>
      </c>
      <c r="F11" s="82">
        <f>'Credit Values'!$K$105</f>
        <v>1</v>
      </c>
      <c r="G11" s="82">
        <f>+D11*E11*F11</f>
        <v>0.15</v>
      </c>
      <c r="H11" s="38">
        <f>+C11*G11</f>
        <v>0</v>
      </c>
      <c r="I11" s="39"/>
    </row>
    <row r="12" spans="1:9" ht="12.75">
      <c r="A12" s="87">
        <f>Sales!R46</f>
        <v>423783</v>
      </c>
      <c r="B12" s="11" t="s">
        <v>57</v>
      </c>
      <c r="C12" s="32">
        <v>0</v>
      </c>
      <c r="D12" s="28">
        <f>'Credit Values'!K68</f>
        <v>1</v>
      </c>
      <c r="E12" s="83">
        <f>'Credit Values'!$D$36</f>
        <v>1</v>
      </c>
      <c r="F12" s="52">
        <f>'Credit Values'!K69</f>
        <v>1.3500363108206248</v>
      </c>
      <c r="G12" s="82">
        <f>+D12*E12*F12</f>
        <v>1.3500363108206248</v>
      </c>
      <c r="H12" s="38">
        <f>+C12*G12</f>
        <v>0</v>
      </c>
      <c r="I12" s="39"/>
    </row>
    <row r="13" spans="1:9" ht="12.75">
      <c r="A13" s="4"/>
      <c r="B13" s="11" t="s">
        <v>37</v>
      </c>
      <c r="C13" s="32">
        <f>+SUM(C10:C12)</f>
        <v>4837.481644684934</v>
      </c>
      <c r="D13" s="28"/>
      <c r="E13" s="83" t="s">
        <v>40</v>
      </c>
      <c r="F13" s="43"/>
      <c r="G13" s="82"/>
      <c r="H13" s="40">
        <f>+SUM(H10:H12)</f>
        <v>12713.49</v>
      </c>
      <c r="I13" s="41">
        <f>+A12*0.03</f>
        <v>12713.49</v>
      </c>
    </row>
    <row r="14" spans="1:9" ht="12.75">
      <c r="A14" s="12" t="s">
        <v>20</v>
      </c>
      <c r="B14" s="7" t="s">
        <v>25</v>
      </c>
      <c r="C14" s="31">
        <f>+I17/G14</f>
        <v>3573.0422343597456</v>
      </c>
      <c r="D14" s="27">
        <f>'Credit Values'!K72</f>
        <v>1.3666</v>
      </c>
      <c r="E14" s="27">
        <f>'Credit Values'!$D$36</f>
        <v>1</v>
      </c>
      <c r="F14" s="51">
        <f>'Credit Values'!K73</f>
        <v>2.8174291938997817</v>
      </c>
      <c r="G14" s="51">
        <f aca="true" t="shared" si="0" ref="G14:G20">+D14*E14*F14</f>
        <v>3.8502987363834418</v>
      </c>
      <c r="H14" s="34">
        <f>+C14*G14</f>
        <v>13757.279999999999</v>
      </c>
      <c r="I14" s="42"/>
    </row>
    <row r="15" spans="1:10" ht="12.75">
      <c r="A15" s="14" t="s">
        <v>38</v>
      </c>
      <c r="B15" s="15" t="s">
        <v>42</v>
      </c>
      <c r="C15" s="31">
        <v>0</v>
      </c>
      <c r="D15" s="27">
        <f>'Credit Values'!$K$104</f>
        <v>1</v>
      </c>
      <c r="E15" s="27">
        <f>'Credit Values'!$D$37</f>
        <v>0.15</v>
      </c>
      <c r="F15" s="51">
        <f>'Credit Values'!$K$105</f>
        <v>1</v>
      </c>
      <c r="G15" s="51">
        <f t="shared" si="0"/>
        <v>0.15</v>
      </c>
      <c r="H15" s="34">
        <f>+C15*G15</f>
        <v>0</v>
      </c>
      <c r="I15" s="42"/>
      <c r="J15" s="23"/>
    </row>
    <row r="16" spans="1:9" ht="12.75">
      <c r="A16" s="86">
        <f>Sales!R50</f>
        <v>458576</v>
      </c>
      <c r="B16" s="7" t="s">
        <v>27</v>
      </c>
      <c r="C16" s="31">
        <v>0</v>
      </c>
      <c r="D16" s="27">
        <f>'Credit Values'!K76</f>
        <v>1</v>
      </c>
      <c r="E16" s="27">
        <f>'Credit Values'!$D$36</f>
        <v>1</v>
      </c>
      <c r="F16" s="51">
        <f>'Credit Values'!K77</f>
        <v>1.3507625272331156</v>
      </c>
      <c r="G16" s="51">
        <f t="shared" si="0"/>
        <v>1.3507625272331156</v>
      </c>
      <c r="H16" s="34">
        <f>+C16*G16</f>
        <v>0</v>
      </c>
      <c r="I16" s="42"/>
    </row>
    <row r="17" spans="1:9" ht="12.75">
      <c r="A17" s="13"/>
      <c r="B17" s="7" t="s">
        <v>37</v>
      </c>
      <c r="C17" s="31">
        <f>+SUM(C14:C16)</f>
        <v>3573.0422343597456</v>
      </c>
      <c r="D17" s="27"/>
      <c r="E17" s="27"/>
      <c r="F17" s="13"/>
      <c r="G17" s="51">
        <f t="shared" si="0"/>
        <v>0</v>
      </c>
      <c r="H17" s="30">
        <f>+SUM(H14:H16)</f>
        <v>13757.279999999999</v>
      </c>
      <c r="I17" s="42">
        <f>+A16*0.03</f>
        <v>13757.279999999999</v>
      </c>
    </row>
    <row r="18" spans="1:9" ht="12.75">
      <c r="A18" s="9" t="s">
        <v>21</v>
      </c>
      <c r="B18" s="11" t="s">
        <v>26</v>
      </c>
      <c r="C18" s="32">
        <f>+I21/G18</f>
        <v>2407.8827310072693</v>
      </c>
      <c r="D18" s="28">
        <f>'Credit Values'!K80</f>
        <v>1.4512</v>
      </c>
      <c r="E18" s="83">
        <f>'Credit Values'!$D$36</f>
        <v>1</v>
      </c>
      <c r="F18" s="52">
        <f>'Credit Values'!K81</f>
        <v>2.0407407407407407</v>
      </c>
      <c r="G18" s="82">
        <f t="shared" si="0"/>
        <v>2.961522962962963</v>
      </c>
      <c r="H18" s="36">
        <f>+C18*G18</f>
        <v>7131</v>
      </c>
      <c r="I18" s="37"/>
    </row>
    <row r="19" spans="1:9" ht="12.75">
      <c r="A19" s="10" t="s">
        <v>38</v>
      </c>
      <c r="B19" s="11" t="s">
        <v>42</v>
      </c>
      <c r="C19" s="32">
        <v>0</v>
      </c>
      <c r="D19" s="83">
        <f>'Credit Values'!$K$104</f>
        <v>1</v>
      </c>
      <c r="E19" s="83">
        <f>'Credit Values'!$D$37</f>
        <v>0.15</v>
      </c>
      <c r="F19" s="82">
        <f>'Credit Values'!$K$105</f>
        <v>1</v>
      </c>
      <c r="G19" s="82">
        <f t="shared" si="0"/>
        <v>0.15</v>
      </c>
      <c r="H19" s="38">
        <f>+C19*G19</f>
        <v>0</v>
      </c>
      <c r="I19" s="39"/>
    </row>
    <row r="20" spans="1:9" ht="12.75">
      <c r="A20" s="87">
        <f>Sales!R54</f>
        <v>237700</v>
      </c>
      <c r="B20" s="11" t="s">
        <v>58</v>
      </c>
      <c r="C20" s="32">
        <v>0</v>
      </c>
      <c r="D20" s="28">
        <f>'Credit Values'!K84</f>
        <v>1.18</v>
      </c>
      <c r="E20" s="83">
        <f>'Credit Values'!$D$36</f>
        <v>1</v>
      </c>
      <c r="F20" s="52">
        <f>'Credit Values'!K85</f>
        <v>1.4524328249818448</v>
      </c>
      <c r="G20" s="82">
        <f t="shared" si="0"/>
        <v>1.7138707334785768</v>
      </c>
      <c r="H20" s="38">
        <f>+C20*G20</f>
        <v>0</v>
      </c>
      <c r="I20" s="39"/>
    </row>
    <row r="21" spans="1:9" ht="12.75">
      <c r="A21" s="10"/>
      <c r="B21" s="11" t="s">
        <v>37</v>
      </c>
      <c r="C21" s="32">
        <f>+SUM(C18:C20)</f>
        <v>2407.8827310072693</v>
      </c>
      <c r="D21" s="28"/>
      <c r="E21" s="47" t="s">
        <v>40</v>
      </c>
      <c r="F21" s="43"/>
      <c r="G21" s="82"/>
      <c r="H21" s="40">
        <f>+SUM(H18:H20)</f>
        <v>7131</v>
      </c>
      <c r="I21" s="41">
        <f>+A20*0.03</f>
        <v>7131</v>
      </c>
    </row>
    <row r="22" spans="1:9" ht="12.75">
      <c r="A22" s="12" t="s">
        <v>22</v>
      </c>
      <c r="B22" s="16" t="s">
        <v>6</v>
      </c>
      <c r="C22" s="31">
        <f>+I25/G22</f>
        <v>661.1478953966118</v>
      </c>
      <c r="D22" s="27">
        <f>'Credit Values'!K88</f>
        <v>1.474</v>
      </c>
      <c r="E22" s="27">
        <f>'Credit Values'!$D$36</f>
        <v>1</v>
      </c>
      <c r="F22" s="51">
        <f>'Credit Values'!K89</f>
        <v>2.859895833333333</v>
      </c>
      <c r="G22" s="51">
        <f>+D22*E22*F22</f>
        <v>4.2154864583333325</v>
      </c>
      <c r="H22" s="34">
        <f>+C22*G22</f>
        <v>2787.06</v>
      </c>
      <c r="I22" s="42"/>
    </row>
    <row r="23" spans="1:9" ht="12.75">
      <c r="A23" s="14" t="s">
        <v>38</v>
      </c>
      <c r="B23" s="16" t="s">
        <v>42</v>
      </c>
      <c r="C23" s="31">
        <v>0</v>
      </c>
      <c r="D23" s="27">
        <f>'Credit Values'!$K$104</f>
        <v>1</v>
      </c>
      <c r="E23" s="27">
        <f>'Credit Values'!$D$37</f>
        <v>0.15</v>
      </c>
      <c r="F23" s="51">
        <f>'Credit Values'!$K$105</f>
        <v>1</v>
      </c>
      <c r="G23" s="51">
        <f>+D23*E23*F23</f>
        <v>0.15</v>
      </c>
      <c r="H23" s="34">
        <f>+C23*G23</f>
        <v>0</v>
      </c>
      <c r="I23" s="42"/>
    </row>
    <row r="24" spans="1:9" ht="12.75">
      <c r="A24" s="86">
        <f>Sales!R58</f>
        <v>92902</v>
      </c>
      <c r="B24" s="7" t="s">
        <v>59</v>
      </c>
      <c r="C24" s="30">
        <v>0</v>
      </c>
      <c r="D24" s="27">
        <f>'Credit Values'!K92</f>
        <v>1.06</v>
      </c>
      <c r="E24" s="27">
        <f>'Credit Values'!$D$36</f>
        <v>1</v>
      </c>
      <c r="F24" s="51">
        <f>'Credit Values'!K93</f>
        <v>1.9480029048656502</v>
      </c>
      <c r="G24" s="51">
        <f>+D24*E24*F24</f>
        <v>2.0648830791575894</v>
      </c>
      <c r="H24" s="34">
        <f>+C24*G24</f>
        <v>0</v>
      </c>
      <c r="I24" s="42"/>
    </row>
    <row r="25" spans="1:9" ht="12.75">
      <c r="A25" s="14"/>
      <c r="B25" s="15" t="s">
        <v>37</v>
      </c>
      <c r="C25" s="30">
        <f>+SUM(C22:C24)</f>
        <v>661.1478953966118</v>
      </c>
      <c r="D25" s="27"/>
      <c r="E25" s="27" t="s">
        <v>40</v>
      </c>
      <c r="F25" s="13"/>
      <c r="G25" s="51"/>
      <c r="H25" s="30">
        <f>+SUM(H22:H24)</f>
        <v>2787.06</v>
      </c>
      <c r="I25" s="42">
        <f>+A24*0.03</f>
        <v>2787.06</v>
      </c>
    </row>
    <row r="26" spans="1:9" ht="12.75">
      <c r="A26" s="9" t="s">
        <v>23</v>
      </c>
      <c r="B26" s="11" t="s">
        <v>7</v>
      </c>
      <c r="C26" s="32">
        <f>+I29/G26</f>
        <v>2456.410381583855</v>
      </c>
      <c r="D26" s="28">
        <f>'Credit Values'!K96</f>
        <v>1.5544000000000002</v>
      </c>
      <c r="E26" s="83">
        <f>'Credit Values'!$D$36</f>
        <v>1</v>
      </c>
      <c r="F26" s="47">
        <f>'Credit Values'!K97</f>
        <v>2.7354666666666665</v>
      </c>
      <c r="G26" s="82">
        <f>+D26*E26*F26</f>
        <v>4.252009386666667</v>
      </c>
      <c r="H26" s="36">
        <f>+C26*G26</f>
        <v>10444.68</v>
      </c>
      <c r="I26" s="37"/>
    </row>
    <row r="27" spans="1:9" ht="12.75">
      <c r="A27" s="10" t="s">
        <v>38</v>
      </c>
      <c r="B27" s="2" t="s">
        <v>42</v>
      </c>
      <c r="C27" s="32">
        <v>0</v>
      </c>
      <c r="D27" s="83">
        <f>'Credit Values'!$K$104</f>
        <v>1</v>
      </c>
      <c r="E27" s="83">
        <f>'Credit Values'!$D$37</f>
        <v>0.15</v>
      </c>
      <c r="F27" s="82">
        <f>'Credit Values'!$K$105</f>
        <v>1</v>
      </c>
      <c r="G27" s="82">
        <f>+D27*E27*F27</f>
        <v>0.15</v>
      </c>
      <c r="H27" s="38">
        <f>+C27*G27</f>
        <v>0</v>
      </c>
      <c r="I27" s="39"/>
    </row>
    <row r="28" spans="1:9" ht="12.75">
      <c r="A28" s="87">
        <f>Sales!R62</f>
        <v>348156</v>
      </c>
      <c r="B28" s="11" t="s">
        <v>60</v>
      </c>
      <c r="C28" s="32">
        <v>0</v>
      </c>
      <c r="D28" s="28">
        <f>'Credit Values'!K100</f>
        <v>1.06</v>
      </c>
      <c r="E28" s="83">
        <f>'Credit Values'!$D$36</f>
        <v>1</v>
      </c>
      <c r="F28" s="52">
        <f>'Credit Values'!K101</f>
        <v>1.8503994190268702</v>
      </c>
      <c r="G28" s="82">
        <f>+D28*E28*F28</f>
        <v>1.9614233841684825</v>
      </c>
      <c r="H28" s="38">
        <f>+C28*G28</f>
        <v>0</v>
      </c>
      <c r="I28" s="39"/>
    </row>
    <row r="29" spans="1:11" ht="12.75">
      <c r="A29" s="4"/>
      <c r="B29" s="1" t="s">
        <v>37</v>
      </c>
      <c r="C29" s="32">
        <f>+SUM(C26:C28)</f>
        <v>2456.410381583855</v>
      </c>
      <c r="D29" s="28"/>
      <c r="E29" s="93" t="s">
        <v>40</v>
      </c>
      <c r="F29" s="43"/>
      <c r="G29" s="52"/>
      <c r="H29" s="40">
        <f>+SUM(H26:H28)</f>
        <v>10444.68</v>
      </c>
      <c r="I29" s="41">
        <f>+A28*0.03</f>
        <v>10444.68</v>
      </c>
      <c r="J29" s="105" t="s">
        <v>178</v>
      </c>
      <c r="K29" s="105" t="s">
        <v>47</v>
      </c>
    </row>
    <row r="30" spans="7:11" ht="12.75">
      <c r="G30" s="85"/>
      <c r="H30" s="33"/>
      <c r="I30" s="22"/>
      <c r="J30" s="105" t="s">
        <v>12</v>
      </c>
      <c r="K30" s="105" t="s">
        <v>179</v>
      </c>
    </row>
    <row r="31" spans="1:11" ht="12.75">
      <c r="A31" s="88">
        <f>+A28+A24+A20+A16+A12+A8</f>
        <v>1883280</v>
      </c>
      <c r="B31" s="7" t="s">
        <v>35</v>
      </c>
      <c r="C31" s="26">
        <f>+C29+C25+C21+C17+C13+C9</f>
        <v>19066.356161614203</v>
      </c>
      <c r="D31" s="25"/>
      <c r="E31" s="25"/>
      <c r="F31" s="25"/>
      <c r="G31" s="84"/>
      <c r="H31" s="26">
        <f>+H29+H25+H21+H17+H13+H9</f>
        <v>56498.399999999994</v>
      </c>
      <c r="I31" s="26">
        <f>+I29+I25+I21+I17+I13+I9</f>
        <v>56498.399999999994</v>
      </c>
      <c r="J31" s="106">
        <f>I31/C31</f>
        <v>2.963251054427838</v>
      </c>
      <c r="K31" s="107">
        <f>'Fleet totals'!F15/J31</f>
        <v>0.010124015633158217</v>
      </c>
    </row>
    <row r="32" ht="12.75">
      <c r="G32" s="85"/>
    </row>
    <row r="33" spans="1:9" ht="12.75">
      <c r="A33" s="7" t="s">
        <v>126</v>
      </c>
      <c r="B33" s="7"/>
      <c r="C33" s="31">
        <f>+I33/G33</f>
        <v>18679.062857142857</v>
      </c>
      <c r="D33" s="27">
        <f>'Credit Values'!K108</f>
        <v>1.75</v>
      </c>
      <c r="E33" s="27">
        <f>'Credit Values'!$D$36</f>
        <v>1</v>
      </c>
      <c r="F33" s="84">
        <f>'Credit Values'!K109</f>
        <v>1.728395061728395</v>
      </c>
      <c r="G33" s="27">
        <f>+D33*E33*F33</f>
        <v>3.024691358024691</v>
      </c>
      <c r="H33" s="31">
        <f>+C33*G33</f>
        <v>56498.399999999994</v>
      </c>
      <c r="I33" s="26">
        <f>+I31+I27+I23+I19+I15+I11</f>
        <v>56498.399999999994</v>
      </c>
    </row>
  </sheetData>
  <mergeCells count="1">
    <mergeCell ref="D3:F3"/>
  </mergeCells>
  <printOptions/>
  <pageMargins left="0.75" right="0.75" top="1" bottom="1" header="0.5" footer="0.5"/>
  <pageSetup fitToHeight="1" fitToWidth="1" horizontalDpi="600" verticalDpi="600" orientation="landscape" r:id="rId4"/>
  <headerFooter alignWithMargins="0">
    <oddHeader>&amp;C&amp;"Arial,Bold"&amp;20Includes Intermediate Manufacturers</oddHeader>
  </headerFooter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33"/>
  <sheetViews>
    <sheetView zoomScale="75" zoomScaleNormal="75" workbookViewId="0" topLeftCell="A1">
      <selection activeCell="R38" sqref="R38"/>
    </sheetView>
  </sheetViews>
  <sheetFormatPr defaultColWidth="9.140625" defaultRowHeight="12.75"/>
  <cols>
    <col min="1" max="1" width="13.421875" style="0" customWidth="1"/>
    <col min="2" max="2" width="17.421875" style="0" customWidth="1"/>
    <col min="6" max="6" width="10.7109375" style="0" customWidth="1"/>
    <col min="7" max="7" width="11.28125" style="0" customWidth="1"/>
    <col min="11" max="11" width="12.00390625" style="0" customWidth="1"/>
  </cols>
  <sheetData>
    <row r="1" ht="12.75">
      <c r="A1" t="s">
        <v>151</v>
      </c>
    </row>
    <row r="2" ht="12.75">
      <c r="D2" s="2"/>
    </row>
    <row r="3" spans="1:9" ht="12.75">
      <c r="A3" s="9" t="s">
        <v>17</v>
      </c>
      <c r="B3" s="19" t="s">
        <v>11</v>
      </c>
      <c r="C3" s="19" t="s">
        <v>55</v>
      </c>
      <c r="D3" s="135" t="s">
        <v>12</v>
      </c>
      <c r="E3" s="140"/>
      <c r="F3" s="136"/>
      <c r="G3" s="19" t="s">
        <v>35</v>
      </c>
      <c r="H3" s="9" t="s">
        <v>29</v>
      </c>
      <c r="I3" s="9" t="s">
        <v>39</v>
      </c>
    </row>
    <row r="4" spans="1:9" ht="12.75">
      <c r="A4" s="4"/>
      <c r="B4" s="4"/>
      <c r="C4" s="4" t="s">
        <v>30</v>
      </c>
      <c r="D4" s="18" t="s">
        <v>28</v>
      </c>
      <c r="E4" s="17" t="s">
        <v>54</v>
      </c>
      <c r="F4" s="6" t="s">
        <v>48</v>
      </c>
      <c r="G4" s="4" t="s">
        <v>56</v>
      </c>
      <c r="H4" s="4" t="s">
        <v>36</v>
      </c>
      <c r="I4" s="4" t="s">
        <v>36</v>
      </c>
    </row>
    <row r="5" spans="1:9" ht="12.75">
      <c r="A5" s="10"/>
      <c r="B5" s="4"/>
      <c r="C5" s="4"/>
      <c r="D5" s="18"/>
      <c r="E5" s="17" t="s">
        <v>40</v>
      </c>
      <c r="F5" s="6" t="s">
        <v>40</v>
      </c>
      <c r="G5" s="4"/>
      <c r="H5" s="6"/>
      <c r="I5" s="10"/>
    </row>
    <row r="6" spans="1:9" ht="12.75">
      <c r="A6" s="12" t="s">
        <v>18</v>
      </c>
      <c r="B6" s="15" t="s">
        <v>24</v>
      </c>
      <c r="C6" s="30">
        <f>+I9/G6</f>
        <v>5130.391274581786</v>
      </c>
      <c r="D6" s="27">
        <f>'Credit Values'!K56</f>
        <v>1.252</v>
      </c>
      <c r="E6" s="27">
        <f>'Credit Values'!$E$36</f>
        <v>1</v>
      </c>
      <c r="F6" s="51">
        <f>'Credit Values'!K57</f>
        <v>1.504672897196262</v>
      </c>
      <c r="G6" s="51">
        <f>+D6*E6*F6</f>
        <v>1.88385046728972</v>
      </c>
      <c r="H6" s="34">
        <f>+C6*G6</f>
        <v>9664.89</v>
      </c>
      <c r="I6" s="30"/>
    </row>
    <row r="7" spans="1:9" ht="12.75">
      <c r="A7" s="14" t="s">
        <v>38</v>
      </c>
      <c r="B7" s="7" t="s">
        <v>42</v>
      </c>
      <c r="C7" s="31">
        <v>0</v>
      </c>
      <c r="D7" s="27">
        <f>'Credit Values'!$K$104</f>
        <v>1</v>
      </c>
      <c r="E7" s="27">
        <f>'Credit Values'!$E$37</f>
        <v>0.15</v>
      </c>
      <c r="F7" s="51">
        <f>'Credit Values'!$K$105</f>
        <v>1</v>
      </c>
      <c r="G7" s="51">
        <f>+D7*E7*F7</f>
        <v>0.15</v>
      </c>
      <c r="H7" s="34">
        <f>+C7*G7</f>
        <v>0</v>
      </c>
      <c r="I7" s="42"/>
    </row>
    <row r="8" spans="1:9" ht="12.75">
      <c r="A8" s="86">
        <f>Sales!S42</f>
        <v>322163</v>
      </c>
      <c r="B8" s="7" t="s">
        <v>27</v>
      </c>
      <c r="C8" s="31">
        <v>0</v>
      </c>
      <c r="D8" s="27">
        <f>'Credit Values'!K60</f>
        <v>1</v>
      </c>
      <c r="E8" s="27">
        <f>'Credit Values'!$E$36</f>
        <v>1</v>
      </c>
      <c r="F8" s="51">
        <f>'Credit Values'!K61</f>
        <v>1.3507625272331156</v>
      </c>
      <c r="G8" s="51">
        <f>+D8*E8*F8</f>
        <v>1.3507625272331156</v>
      </c>
      <c r="H8" s="34">
        <f>+C8*G8</f>
        <v>0</v>
      </c>
      <c r="I8" s="42"/>
    </row>
    <row r="9" spans="1:9" ht="12.75">
      <c r="A9" s="14"/>
      <c r="B9" s="16" t="s">
        <v>37</v>
      </c>
      <c r="C9" s="31">
        <f>+SUM(C6:C8)</f>
        <v>5130.391274581786</v>
      </c>
      <c r="D9" s="27"/>
      <c r="E9" s="27" t="s">
        <v>40</v>
      </c>
      <c r="F9" s="13"/>
      <c r="G9" s="51"/>
      <c r="H9" s="30">
        <f>+SUM(H6:H8)</f>
        <v>9664.89</v>
      </c>
      <c r="I9" s="44">
        <f>+A8*0.03</f>
        <v>9664.89</v>
      </c>
    </row>
    <row r="10" spans="1:9" ht="12.75">
      <c r="A10" s="9" t="s">
        <v>19</v>
      </c>
      <c r="B10" s="11" t="s">
        <v>34</v>
      </c>
      <c r="C10" s="32">
        <f>+I13/G10</f>
        <v>4837.481644684934</v>
      </c>
      <c r="D10" s="28">
        <f>'Credit Values'!K64</f>
        <v>1.192</v>
      </c>
      <c r="E10" s="83">
        <f>'Credit Values'!$E$36</f>
        <v>1</v>
      </c>
      <c r="F10" s="52">
        <f>'Credit Values'!K65</f>
        <v>2.2048</v>
      </c>
      <c r="G10" s="82">
        <f>+D10*E10*F10</f>
        <v>2.6281216</v>
      </c>
      <c r="H10" s="36">
        <f>+C10*G10</f>
        <v>12713.49</v>
      </c>
      <c r="I10" s="37"/>
    </row>
    <row r="11" spans="1:9" ht="12.75">
      <c r="A11" s="10" t="s">
        <v>38</v>
      </c>
      <c r="B11" s="11" t="s">
        <v>42</v>
      </c>
      <c r="C11" s="32">
        <v>0</v>
      </c>
      <c r="D11" s="83">
        <f>'Credit Values'!$K$104</f>
        <v>1</v>
      </c>
      <c r="E11" s="83">
        <f>'Credit Values'!$E$37</f>
        <v>0.15</v>
      </c>
      <c r="F11" s="82">
        <f>'Credit Values'!$K$105</f>
        <v>1</v>
      </c>
      <c r="G11" s="82">
        <f>+D11*E11*F11</f>
        <v>0.15</v>
      </c>
      <c r="H11" s="38">
        <f>+C11*G11</f>
        <v>0</v>
      </c>
      <c r="I11" s="39"/>
    </row>
    <row r="12" spans="1:9" ht="12.75">
      <c r="A12" s="87">
        <f>Sales!S46</f>
        <v>423783</v>
      </c>
      <c r="B12" s="11" t="s">
        <v>57</v>
      </c>
      <c r="C12" s="32">
        <v>0</v>
      </c>
      <c r="D12" s="28">
        <f>'Credit Values'!K68</f>
        <v>1</v>
      </c>
      <c r="E12" s="83">
        <f>'Credit Values'!$E$36</f>
        <v>1</v>
      </c>
      <c r="F12" s="52">
        <f>'Credit Values'!K69</f>
        <v>1.3500363108206248</v>
      </c>
      <c r="G12" s="82">
        <f>+D12*E12*F12</f>
        <v>1.3500363108206248</v>
      </c>
      <c r="H12" s="38">
        <f>+C12*G12</f>
        <v>0</v>
      </c>
      <c r="I12" s="39"/>
    </row>
    <row r="13" spans="1:9" ht="12.75">
      <c r="A13" s="4"/>
      <c r="B13" s="11" t="s">
        <v>37</v>
      </c>
      <c r="C13" s="32">
        <f>+SUM(C10:C12)</f>
        <v>4837.481644684934</v>
      </c>
      <c r="D13" s="28"/>
      <c r="E13" s="47" t="s">
        <v>40</v>
      </c>
      <c r="F13" s="43"/>
      <c r="G13" s="82"/>
      <c r="H13" s="40">
        <f>+SUM(H10:H12)</f>
        <v>12713.49</v>
      </c>
      <c r="I13" s="41">
        <f>+A12*0.03</f>
        <v>12713.49</v>
      </c>
    </row>
    <row r="14" spans="1:9" ht="12.75">
      <c r="A14" s="12" t="s">
        <v>20</v>
      </c>
      <c r="B14" s="7" t="s">
        <v>25</v>
      </c>
      <c r="C14" s="31">
        <f>+I17/G14</f>
        <v>3573.0422343597456</v>
      </c>
      <c r="D14" s="27">
        <f>'Credit Values'!K72</f>
        <v>1.3666</v>
      </c>
      <c r="E14" s="27">
        <f>'Credit Values'!$E$36</f>
        <v>1</v>
      </c>
      <c r="F14" s="51">
        <f>'Credit Values'!K73</f>
        <v>2.8174291938997817</v>
      </c>
      <c r="G14" s="51">
        <f aca="true" t="shared" si="0" ref="G14:G20">+D14*E14*F14</f>
        <v>3.8502987363834418</v>
      </c>
      <c r="H14" s="34">
        <f>+C14*G14</f>
        <v>13757.279999999999</v>
      </c>
      <c r="I14" s="42"/>
    </row>
    <row r="15" spans="1:10" ht="12.75">
      <c r="A15" s="14" t="s">
        <v>38</v>
      </c>
      <c r="B15" s="15" t="s">
        <v>42</v>
      </c>
      <c r="C15" s="31">
        <v>0</v>
      </c>
      <c r="D15" s="27">
        <f>'Credit Values'!$K$104</f>
        <v>1</v>
      </c>
      <c r="E15" s="27">
        <f>'Credit Values'!$E$37</f>
        <v>0.15</v>
      </c>
      <c r="F15" s="51">
        <f>'Credit Values'!$K$105</f>
        <v>1</v>
      </c>
      <c r="G15" s="51">
        <f t="shared" si="0"/>
        <v>0.15</v>
      </c>
      <c r="H15" s="34">
        <f>+C15*G15</f>
        <v>0</v>
      </c>
      <c r="I15" s="42"/>
      <c r="J15" s="23"/>
    </row>
    <row r="16" spans="1:9" ht="12.75">
      <c r="A16" s="86">
        <f>Sales!S50</f>
        <v>458576</v>
      </c>
      <c r="B16" s="7" t="s">
        <v>27</v>
      </c>
      <c r="C16" s="31">
        <v>0</v>
      </c>
      <c r="D16" s="27">
        <f>'Credit Values'!K76</f>
        <v>1</v>
      </c>
      <c r="E16" s="27">
        <f>'Credit Values'!$E$36</f>
        <v>1</v>
      </c>
      <c r="F16" s="51">
        <f>'Credit Values'!K77</f>
        <v>1.3507625272331156</v>
      </c>
      <c r="G16" s="51">
        <f t="shared" si="0"/>
        <v>1.3507625272331156</v>
      </c>
      <c r="H16" s="34">
        <f>+C16*G16</f>
        <v>0</v>
      </c>
      <c r="I16" s="42"/>
    </row>
    <row r="17" spans="1:9" ht="12.75">
      <c r="A17" s="13"/>
      <c r="B17" s="7" t="s">
        <v>37</v>
      </c>
      <c r="C17" s="31">
        <f>+SUM(C14:C16)</f>
        <v>3573.0422343597456</v>
      </c>
      <c r="D17" s="27"/>
      <c r="E17" s="27"/>
      <c r="F17" s="13"/>
      <c r="G17" s="51">
        <f t="shared" si="0"/>
        <v>0</v>
      </c>
      <c r="H17" s="30">
        <f>+SUM(H14:H16)</f>
        <v>13757.279999999999</v>
      </c>
      <c r="I17" s="42">
        <f>+A16*0.03</f>
        <v>13757.279999999999</v>
      </c>
    </row>
    <row r="18" spans="1:9" ht="12.75">
      <c r="A18" s="9" t="s">
        <v>21</v>
      </c>
      <c r="B18" s="11" t="s">
        <v>26</v>
      </c>
      <c r="C18" s="32">
        <f>+I21/G18</f>
        <v>2407.8827310072693</v>
      </c>
      <c r="D18" s="28">
        <f>'Credit Values'!K80</f>
        <v>1.4512</v>
      </c>
      <c r="E18" s="83">
        <f>'Credit Values'!$E$36</f>
        <v>1</v>
      </c>
      <c r="F18" s="52">
        <f>'Credit Values'!K81</f>
        <v>2.0407407407407407</v>
      </c>
      <c r="G18" s="82">
        <f t="shared" si="0"/>
        <v>2.961522962962963</v>
      </c>
      <c r="H18" s="36">
        <f>+C18*G18</f>
        <v>7131</v>
      </c>
      <c r="I18" s="37"/>
    </row>
    <row r="19" spans="1:9" ht="12.75">
      <c r="A19" s="10" t="s">
        <v>38</v>
      </c>
      <c r="B19" s="11" t="s">
        <v>42</v>
      </c>
      <c r="C19" s="32">
        <v>0</v>
      </c>
      <c r="D19" s="83">
        <f>'Credit Values'!$K$104</f>
        <v>1</v>
      </c>
      <c r="E19" s="83">
        <f>'Credit Values'!$E$37</f>
        <v>0.15</v>
      </c>
      <c r="F19" s="82">
        <f>'Credit Values'!$K$105</f>
        <v>1</v>
      </c>
      <c r="G19" s="82">
        <f t="shared" si="0"/>
        <v>0.15</v>
      </c>
      <c r="H19" s="38">
        <f>+C19*G19</f>
        <v>0</v>
      </c>
      <c r="I19" s="39"/>
    </row>
    <row r="20" spans="1:9" ht="12.75">
      <c r="A20" s="87">
        <f>Sales!S54</f>
        <v>237700</v>
      </c>
      <c r="B20" s="11" t="s">
        <v>58</v>
      </c>
      <c r="C20" s="32">
        <v>0</v>
      </c>
      <c r="D20" s="28">
        <f>'Credit Values'!K84</f>
        <v>1.18</v>
      </c>
      <c r="E20" s="83">
        <f>'Credit Values'!$E$36</f>
        <v>1</v>
      </c>
      <c r="F20" s="52">
        <f>'Credit Values'!K85</f>
        <v>1.4524328249818448</v>
      </c>
      <c r="G20" s="82">
        <f t="shared" si="0"/>
        <v>1.7138707334785768</v>
      </c>
      <c r="H20" s="38">
        <f>+C20*G20</f>
        <v>0</v>
      </c>
      <c r="I20" s="39"/>
    </row>
    <row r="21" spans="1:9" ht="12.75">
      <c r="A21" s="10"/>
      <c r="B21" s="11" t="s">
        <v>37</v>
      </c>
      <c r="C21" s="32">
        <f>+SUM(C18:C20)</f>
        <v>2407.8827310072693</v>
      </c>
      <c r="D21" s="28"/>
      <c r="E21" s="47" t="s">
        <v>40</v>
      </c>
      <c r="F21" s="43"/>
      <c r="G21" s="82"/>
      <c r="H21" s="40">
        <f>+SUM(H18:H20)</f>
        <v>7131</v>
      </c>
      <c r="I21" s="41">
        <f>+A20*0.03</f>
        <v>7131</v>
      </c>
    </row>
    <row r="22" spans="1:9" ht="12.75">
      <c r="A22" s="12" t="s">
        <v>22</v>
      </c>
      <c r="B22" s="16" t="s">
        <v>6</v>
      </c>
      <c r="C22" s="31">
        <f>+I25/G22</f>
        <v>661.1478953966118</v>
      </c>
      <c r="D22" s="27">
        <f>'Credit Values'!K88</f>
        <v>1.474</v>
      </c>
      <c r="E22" s="27">
        <f>'Credit Values'!$E$36</f>
        <v>1</v>
      </c>
      <c r="F22" s="51">
        <f>'Credit Values'!K89</f>
        <v>2.859895833333333</v>
      </c>
      <c r="G22" s="51">
        <f>+D22*E22*F22</f>
        <v>4.2154864583333325</v>
      </c>
      <c r="H22" s="34">
        <f>+C22*G22</f>
        <v>2787.06</v>
      </c>
      <c r="I22" s="42"/>
    </row>
    <row r="23" spans="1:9" ht="12.75">
      <c r="A23" s="14" t="s">
        <v>38</v>
      </c>
      <c r="B23" s="16" t="s">
        <v>42</v>
      </c>
      <c r="C23" s="31">
        <v>0</v>
      </c>
      <c r="D23" s="27">
        <f>'Credit Values'!$K$104</f>
        <v>1</v>
      </c>
      <c r="E23" s="27">
        <f>'Credit Values'!$E$37</f>
        <v>0.15</v>
      </c>
      <c r="F23" s="51">
        <f>'Credit Values'!$K$105</f>
        <v>1</v>
      </c>
      <c r="G23" s="51">
        <f>+D23*E23*F23</f>
        <v>0.15</v>
      </c>
      <c r="H23" s="34">
        <f>+C23*G23</f>
        <v>0</v>
      </c>
      <c r="I23" s="42"/>
    </row>
    <row r="24" spans="1:9" ht="12.75">
      <c r="A24" s="86">
        <f>Sales!S58</f>
        <v>92902</v>
      </c>
      <c r="B24" s="7" t="s">
        <v>59</v>
      </c>
      <c r="C24" s="30">
        <v>0</v>
      </c>
      <c r="D24" s="27">
        <f>'Credit Values'!K92</f>
        <v>1.06</v>
      </c>
      <c r="E24" s="27">
        <f>'Credit Values'!$E$36</f>
        <v>1</v>
      </c>
      <c r="F24" s="51">
        <f>'Credit Values'!K93</f>
        <v>1.9480029048656502</v>
      </c>
      <c r="G24" s="51">
        <f>+D24*E24*F24</f>
        <v>2.0648830791575894</v>
      </c>
      <c r="H24" s="34">
        <f>+C24*G24</f>
        <v>0</v>
      </c>
      <c r="I24" s="42"/>
    </row>
    <row r="25" spans="1:9" ht="12.75">
      <c r="A25" s="14"/>
      <c r="B25" s="15" t="s">
        <v>37</v>
      </c>
      <c r="C25" s="30">
        <f>+SUM(C22:C24)</f>
        <v>661.1478953966118</v>
      </c>
      <c r="D25" s="27"/>
      <c r="E25" s="27" t="s">
        <v>40</v>
      </c>
      <c r="F25" s="13"/>
      <c r="G25" s="51"/>
      <c r="H25" s="30">
        <f>+SUM(H22:H24)</f>
        <v>2787.06</v>
      </c>
      <c r="I25" s="42">
        <f>+A24*0.03</f>
        <v>2787.06</v>
      </c>
    </row>
    <row r="26" spans="1:9" ht="12.75">
      <c r="A26" s="9" t="s">
        <v>23</v>
      </c>
      <c r="B26" s="11" t="s">
        <v>7</v>
      </c>
      <c r="C26" s="32">
        <f>+I29/G26</f>
        <v>2456.410381583855</v>
      </c>
      <c r="D26" s="28">
        <f>'Credit Values'!K96</f>
        <v>1.5544000000000002</v>
      </c>
      <c r="E26" s="83">
        <f>'Credit Values'!$E$36</f>
        <v>1</v>
      </c>
      <c r="F26" s="47">
        <f>'Credit Values'!K97</f>
        <v>2.7354666666666665</v>
      </c>
      <c r="G26" s="82">
        <f>+D26*E26*F26</f>
        <v>4.252009386666667</v>
      </c>
      <c r="H26" s="36">
        <f>+C26*G26</f>
        <v>10444.68</v>
      </c>
      <c r="I26" s="37"/>
    </row>
    <row r="27" spans="1:9" ht="12.75">
      <c r="A27" s="10" t="s">
        <v>38</v>
      </c>
      <c r="B27" s="2" t="s">
        <v>42</v>
      </c>
      <c r="C27" s="32">
        <v>0</v>
      </c>
      <c r="D27" s="83">
        <f>'Credit Values'!$K$104</f>
        <v>1</v>
      </c>
      <c r="E27" s="83">
        <f>'Credit Values'!$E$37</f>
        <v>0.15</v>
      </c>
      <c r="F27" s="82">
        <f>'Credit Values'!$K$105</f>
        <v>1</v>
      </c>
      <c r="G27" s="82">
        <f>+D27*E27*F27</f>
        <v>0.15</v>
      </c>
      <c r="H27" s="38">
        <f>+C27*G27</f>
        <v>0</v>
      </c>
      <c r="I27" s="39"/>
    </row>
    <row r="28" spans="1:9" ht="12.75">
      <c r="A28" s="87">
        <f>Sales!S62</f>
        <v>348156</v>
      </c>
      <c r="B28" s="11" t="s">
        <v>60</v>
      </c>
      <c r="C28" s="32">
        <v>0</v>
      </c>
      <c r="D28" s="28">
        <f>'Credit Values'!K100</f>
        <v>1.06</v>
      </c>
      <c r="E28" s="83">
        <f>'Credit Values'!$E$36</f>
        <v>1</v>
      </c>
      <c r="F28" s="52">
        <f>'Credit Values'!K101</f>
        <v>1.8503994190268702</v>
      </c>
      <c r="G28" s="82">
        <f>+D28*E28*F28</f>
        <v>1.9614233841684825</v>
      </c>
      <c r="H28" s="38">
        <f>+C28*G28</f>
        <v>0</v>
      </c>
      <c r="I28" s="39"/>
    </row>
    <row r="29" spans="1:11" ht="12.75">
      <c r="A29" s="4"/>
      <c r="B29" s="1" t="s">
        <v>37</v>
      </c>
      <c r="C29" s="32">
        <f>+SUM(C26:C28)</f>
        <v>2456.410381583855</v>
      </c>
      <c r="D29" s="28"/>
      <c r="E29" s="29" t="s">
        <v>40</v>
      </c>
      <c r="F29" s="43"/>
      <c r="G29" s="52"/>
      <c r="H29" s="40">
        <f>+SUM(H26:H28)</f>
        <v>10444.68</v>
      </c>
      <c r="I29" s="41">
        <f>+A28*0.03</f>
        <v>10444.68</v>
      </c>
      <c r="J29" s="105" t="s">
        <v>178</v>
      </c>
      <c r="K29" s="105" t="s">
        <v>47</v>
      </c>
    </row>
    <row r="30" spans="7:11" ht="12.75">
      <c r="G30" s="85"/>
      <c r="H30" s="33"/>
      <c r="I30" s="22"/>
      <c r="J30" s="105" t="s">
        <v>12</v>
      </c>
      <c r="K30" s="105" t="s">
        <v>179</v>
      </c>
    </row>
    <row r="31" spans="1:11" ht="12.75">
      <c r="A31" s="88">
        <f>+A28+A24+A20+A16+A12+A8</f>
        <v>1883280</v>
      </c>
      <c r="B31" s="7" t="s">
        <v>35</v>
      </c>
      <c r="C31" s="26">
        <f>+C29+C25+C21+C17+C13+C9</f>
        <v>19066.356161614203</v>
      </c>
      <c r="D31" s="25"/>
      <c r="E31" s="25"/>
      <c r="F31" s="25"/>
      <c r="G31" s="84"/>
      <c r="H31" s="26">
        <f>+H29+H25+H21+H17+H13+H9</f>
        <v>56498.399999999994</v>
      </c>
      <c r="I31" s="26">
        <f>+I29+I25+I21+I17+I13+I9</f>
        <v>56498.399999999994</v>
      </c>
      <c r="J31" s="106">
        <f>I31/C31</f>
        <v>2.963251054427838</v>
      </c>
      <c r="K31" s="107">
        <f>'Fleet totals'!F16/J31</f>
        <v>0.010124015633158217</v>
      </c>
    </row>
    <row r="32" ht="12.75">
      <c r="G32" s="85"/>
    </row>
    <row r="33" spans="1:9" ht="12.75">
      <c r="A33" s="7" t="s">
        <v>126</v>
      </c>
      <c r="B33" s="7"/>
      <c r="C33" s="31">
        <f>+I33/G33</f>
        <v>18679.062857142857</v>
      </c>
      <c r="D33" s="27">
        <f>'Credit Values'!K108</f>
        <v>1.75</v>
      </c>
      <c r="E33" s="27">
        <f>'Credit Values'!$E$36</f>
        <v>1</v>
      </c>
      <c r="F33" s="84">
        <f>'Credit Values'!K109</f>
        <v>1.728395061728395</v>
      </c>
      <c r="G33" s="27">
        <f>+D33*E33*F33</f>
        <v>3.024691358024691</v>
      </c>
      <c r="H33" s="31">
        <f>+C33*G33</f>
        <v>56498.399999999994</v>
      </c>
      <c r="I33" s="26">
        <f>+I31+I27+I23+I19+I15+I11</f>
        <v>56498.399999999994</v>
      </c>
    </row>
  </sheetData>
  <mergeCells count="1">
    <mergeCell ref="D3:F3"/>
  </mergeCells>
  <printOptions/>
  <pageMargins left="0.75" right="0.75" top="1" bottom="1" header="0.5" footer="0.5"/>
  <pageSetup fitToHeight="1" fitToWidth="1" horizontalDpi="600" verticalDpi="600" orientation="landscape" r:id="rId4"/>
  <headerFooter alignWithMargins="0">
    <oddHeader>&amp;C&amp;"Arial,Bold"&amp;20Includes Intermediate Manufacturers</oddHeader>
  </headerFooter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K33"/>
  <sheetViews>
    <sheetView zoomScale="75" zoomScaleNormal="75" workbookViewId="0" topLeftCell="A1">
      <selection activeCell="R38" sqref="R38"/>
    </sheetView>
  </sheetViews>
  <sheetFormatPr defaultColWidth="9.140625" defaultRowHeight="12.75"/>
  <cols>
    <col min="1" max="1" width="13.421875" style="0" customWidth="1"/>
    <col min="2" max="2" width="17.421875" style="0" customWidth="1"/>
    <col min="6" max="6" width="10.7109375" style="0" customWidth="1"/>
    <col min="7" max="7" width="11.28125" style="0" customWidth="1"/>
    <col min="11" max="11" width="12.421875" style="0" customWidth="1"/>
  </cols>
  <sheetData>
    <row r="1" ht="12.75">
      <c r="A1" t="s">
        <v>152</v>
      </c>
    </row>
    <row r="2" ht="12.75">
      <c r="D2" s="2"/>
    </row>
    <row r="3" spans="1:9" ht="12.75">
      <c r="A3" s="9" t="s">
        <v>17</v>
      </c>
      <c r="B3" s="19" t="s">
        <v>11</v>
      </c>
      <c r="C3" s="19" t="s">
        <v>55</v>
      </c>
      <c r="D3" s="135" t="s">
        <v>12</v>
      </c>
      <c r="E3" s="140"/>
      <c r="F3" s="136"/>
      <c r="G3" s="19" t="s">
        <v>35</v>
      </c>
      <c r="H3" s="9" t="s">
        <v>29</v>
      </c>
      <c r="I3" s="9" t="s">
        <v>39</v>
      </c>
    </row>
    <row r="4" spans="1:9" ht="12.75">
      <c r="A4" s="4"/>
      <c r="B4" s="4"/>
      <c r="C4" s="4" t="s">
        <v>30</v>
      </c>
      <c r="D4" s="18" t="s">
        <v>28</v>
      </c>
      <c r="E4" s="17" t="s">
        <v>54</v>
      </c>
      <c r="F4" s="6" t="s">
        <v>48</v>
      </c>
      <c r="G4" s="4" t="s">
        <v>56</v>
      </c>
      <c r="H4" s="4" t="s">
        <v>36</v>
      </c>
      <c r="I4" s="4" t="s">
        <v>36</v>
      </c>
    </row>
    <row r="5" spans="1:9" ht="12.75">
      <c r="A5" s="10"/>
      <c r="B5" s="4"/>
      <c r="C5" s="4"/>
      <c r="D5" s="18"/>
      <c r="E5" s="17" t="s">
        <v>40</v>
      </c>
      <c r="F5" s="6" t="s">
        <v>40</v>
      </c>
      <c r="G5" s="4"/>
      <c r="H5" s="6"/>
      <c r="I5" s="10"/>
    </row>
    <row r="6" spans="1:9" ht="12.75">
      <c r="A6" s="12" t="s">
        <v>18</v>
      </c>
      <c r="B6" s="15" t="s">
        <v>24</v>
      </c>
      <c r="C6" s="30">
        <f>+I9/G6</f>
        <v>6840.521699442382</v>
      </c>
      <c r="D6" s="27">
        <f>'Credit Values'!K56</f>
        <v>1.252</v>
      </c>
      <c r="E6" s="27">
        <f>'Credit Values'!$F$36</f>
        <v>1</v>
      </c>
      <c r="F6" s="51">
        <f>'Credit Values'!K57</f>
        <v>1.504672897196262</v>
      </c>
      <c r="G6" s="51">
        <f>+D6*E6*F6</f>
        <v>1.88385046728972</v>
      </c>
      <c r="H6" s="34">
        <f>+C6*G6</f>
        <v>12886.52</v>
      </c>
      <c r="I6" s="30"/>
    </row>
    <row r="7" spans="1:9" ht="12.75">
      <c r="A7" s="14" t="s">
        <v>38</v>
      </c>
      <c r="B7" s="7" t="s">
        <v>42</v>
      </c>
      <c r="C7" s="31">
        <v>0</v>
      </c>
      <c r="D7" s="27">
        <f>'Credit Values'!$K$104</f>
        <v>1</v>
      </c>
      <c r="E7" s="27">
        <f>'Credit Values'!$F$37</f>
        <v>0.15</v>
      </c>
      <c r="F7" s="51">
        <f>'Credit Values'!$K$105</f>
        <v>1</v>
      </c>
      <c r="G7" s="51">
        <f>+D7*E7*F7</f>
        <v>0.15</v>
      </c>
      <c r="H7" s="34">
        <f>+C7*G7</f>
        <v>0</v>
      </c>
      <c r="I7" s="42"/>
    </row>
    <row r="8" spans="1:9" ht="12.75">
      <c r="A8" s="86">
        <f>Sales!U42</f>
        <v>322163</v>
      </c>
      <c r="B8" s="7" t="s">
        <v>27</v>
      </c>
      <c r="C8" s="31">
        <v>0</v>
      </c>
      <c r="D8" s="27">
        <f>'Credit Values'!K60</f>
        <v>1</v>
      </c>
      <c r="E8" s="27">
        <f>'Credit Values'!$F$36</f>
        <v>1</v>
      </c>
      <c r="F8" s="51">
        <f>'Credit Values'!K61</f>
        <v>1.3507625272331156</v>
      </c>
      <c r="G8" s="51">
        <f>+D8*E8*F8</f>
        <v>1.3507625272331156</v>
      </c>
      <c r="H8" s="34">
        <f>+C8*G8</f>
        <v>0</v>
      </c>
      <c r="I8" s="42"/>
    </row>
    <row r="9" spans="1:9" ht="12.75">
      <c r="A9" s="14"/>
      <c r="B9" s="16" t="s">
        <v>37</v>
      </c>
      <c r="C9" s="31">
        <f>+SUM(C6:C8)</f>
        <v>6840.521699442382</v>
      </c>
      <c r="D9" s="27"/>
      <c r="E9" s="27" t="s">
        <v>40</v>
      </c>
      <c r="F9" s="13"/>
      <c r="G9" s="51"/>
      <c r="H9" s="30">
        <f>+SUM(H6:H8)</f>
        <v>12886.52</v>
      </c>
      <c r="I9" s="44">
        <f>+A8*0.04</f>
        <v>12886.52</v>
      </c>
    </row>
    <row r="10" spans="1:9" ht="12.75">
      <c r="A10" s="9" t="s">
        <v>19</v>
      </c>
      <c r="B10" s="11" t="s">
        <v>34</v>
      </c>
      <c r="C10" s="32">
        <f>+I13/G10</f>
        <v>6449.975526246579</v>
      </c>
      <c r="D10" s="28">
        <f>'Credit Values'!K64</f>
        <v>1.192</v>
      </c>
      <c r="E10" s="83">
        <f>'Credit Values'!$F$36</f>
        <v>1</v>
      </c>
      <c r="F10" s="52">
        <f>'Credit Values'!K65</f>
        <v>2.2048</v>
      </c>
      <c r="G10" s="82">
        <f>+D10*E10*F10</f>
        <v>2.6281216</v>
      </c>
      <c r="H10" s="36">
        <f>+C10*G10</f>
        <v>16951.32</v>
      </c>
      <c r="I10" s="37"/>
    </row>
    <row r="11" spans="1:9" ht="12.75">
      <c r="A11" s="10" t="s">
        <v>38</v>
      </c>
      <c r="B11" s="11" t="s">
        <v>42</v>
      </c>
      <c r="C11" s="32">
        <v>0</v>
      </c>
      <c r="D11" s="83">
        <f>'Credit Values'!$K$104</f>
        <v>1</v>
      </c>
      <c r="E11" s="83">
        <f>'Credit Values'!$F$37</f>
        <v>0.15</v>
      </c>
      <c r="F11" s="82">
        <f>'Credit Values'!$K$105</f>
        <v>1</v>
      </c>
      <c r="G11" s="82">
        <f>+D11*E11*F11</f>
        <v>0.15</v>
      </c>
      <c r="H11" s="38">
        <f>+C11*G11</f>
        <v>0</v>
      </c>
      <c r="I11" s="39"/>
    </row>
    <row r="12" spans="1:9" ht="12.75">
      <c r="A12" s="87">
        <f>Sales!U46</f>
        <v>423783</v>
      </c>
      <c r="B12" s="11" t="s">
        <v>57</v>
      </c>
      <c r="C12" s="32">
        <v>0</v>
      </c>
      <c r="D12" s="28">
        <f>'Credit Values'!K68</f>
        <v>1</v>
      </c>
      <c r="E12" s="83">
        <f>'Credit Values'!$F$36</f>
        <v>1</v>
      </c>
      <c r="F12" s="52">
        <f>'Credit Values'!K69</f>
        <v>1.3500363108206248</v>
      </c>
      <c r="G12" s="82">
        <f>+D12*E12*F12</f>
        <v>1.3500363108206248</v>
      </c>
      <c r="H12" s="38">
        <f>+C12*G12</f>
        <v>0</v>
      </c>
      <c r="I12" s="39"/>
    </row>
    <row r="13" spans="1:9" ht="12.75">
      <c r="A13" s="4"/>
      <c r="B13" s="11" t="s">
        <v>37</v>
      </c>
      <c r="C13" s="32">
        <f>+SUM(C10:C12)</f>
        <v>6449.975526246579</v>
      </c>
      <c r="D13" s="28"/>
      <c r="E13" s="47" t="s">
        <v>40</v>
      </c>
      <c r="F13" s="43"/>
      <c r="G13" s="82"/>
      <c r="H13" s="40">
        <f>+SUM(H10:H12)</f>
        <v>16951.32</v>
      </c>
      <c r="I13" s="41">
        <f>+A12*0.04</f>
        <v>16951.32</v>
      </c>
    </row>
    <row r="14" spans="1:9" ht="12.75">
      <c r="A14" s="12" t="s">
        <v>20</v>
      </c>
      <c r="B14" s="7" t="s">
        <v>25</v>
      </c>
      <c r="C14" s="31">
        <f>+I17/G14</f>
        <v>4764.056312479662</v>
      </c>
      <c r="D14" s="27">
        <f>'Credit Values'!K72</f>
        <v>1.3666</v>
      </c>
      <c r="E14" s="27">
        <f>'Credit Values'!$F$36</f>
        <v>1</v>
      </c>
      <c r="F14" s="51">
        <f>'Credit Values'!K73</f>
        <v>2.8174291938997817</v>
      </c>
      <c r="G14" s="51">
        <f aca="true" t="shared" si="0" ref="G14:G20">+D14*E14*F14</f>
        <v>3.8502987363834418</v>
      </c>
      <c r="H14" s="34">
        <f>+C14*G14</f>
        <v>18343.04</v>
      </c>
      <c r="I14" s="42"/>
    </row>
    <row r="15" spans="1:10" ht="12.75">
      <c r="A15" s="14" t="s">
        <v>38</v>
      </c>
      <c r="B15" s="15" t="s">
        <v>42</v>
      </c>
      <c r="C15" s="31">
        <v>0</v>
      </c>
      <c r="D15" s="27">
        <f>'Credit Values'!$K$104</f>
        <v>1</v>
      </c>
      <c r="E15" s="27">
        <f>'Credit Values'!$F$37</f>
        <v>0.15</v>
      </c>
      <c r="F15" s="51">
        <f>'Credit Values'!$K$105</f>
        <v>1</v>
      </c>
      <c r="G15" s="51">
        <f t="shared" si="0"/>
        <v>0.15</v>
      </c>
      <c r="H15" s="34">
        <f>+C15*G15</f>
        <v>0</v>
      </c>
      <c r="I15" s="42"/>
      <c r="J15" s="23"/>
    </row>
    <row r="16" spans="1:9" ht="12.75">
      <c r="A16" s="86">
        <f>Sales!U50</f>
        <v>458576</v>
      </c>
      <c r="B16" s="7" t="s">
        <v>27</v>
      </c>
      <c r="C16" s="31">
        <v>0</v>
      </c>
      <c r="D16" s="27">
        <f>'Credit Values'!K76</f>
        <v>1</v>
      </c>
      <c r="E16" s="27">
        <f>'Credit Values'!$F$36</f>
        <v>1</v>
      </c>
      <c r="F16" s="51">
        <f>'Credit Values'!K77</f>
        <v>1.3507625272331156</v>
      </c>
      <c r="G16" s="51">
        <f t="shared" si="0"/>
        <v>1.3507625272331156</v>
      </c>
      <c r="H16" s="34">
        <f>+C16*G16</f>
        <v>0</v>
      </c>
      <c r="I16" s="42"/>
    </row>
    <row r="17" spans="1:9" ht="12.75">
      <c r="A17" s="13"/>
      <c r="B17" s="7" t="s">
        <v>37</v>
      </c>
      <c r="C17" s="31">
        <f>+SUM(C14:C16)</f>
        <v>4764.056312479662</v>
      </c>
      <c r="D17" s="27"/>
      <c r="E17" s="27"/>
      <c r="F17" s="13"/>
      <c r="G17" s="51">
        <f t="shared" si="0"/>
        <v>0</v>
      </c>
      <c r="H17" s="30">
        <f>+SUM(H14:H16)</f>
        <v>18343.04</v>
      </c>
      <c r="I17" s="42">
        <f>+A16*0.04</f>
        <v>18343.04</v>
      </c>
    </row>
    <row r="18" spans="1:9" ht="12.75">
      <c r="A18" s="9" t="s">
        <v>21</v>
      </c>
      <c r="B18" s="11" t="s">
        <v>26</v>
      </c>
      <c r="C18" s="32">
        <f>+I21/G18</f>
        <v>3210.5103080096924</v>
      </c>
      <c r="D18" s="28">
        <f>'Credit Values'!K80</f>
        <v>1.4512</v>
      </c>
      <c r="E18" s="83">
        <f>'Credit Values'!$F$36</f>
        <v>1</v>
      </c>
      <c r="F18" s="52">
        <f>'Credit Values'!K81</f>
        <v>2.0407407407407407</v>
      </c>
      <c r="G18" s="82">
        <f t="shared" si="0"/>
        <v>2.961522962962963</v>
      </c>
      <c r="H18" s="36">
        <f>+C18*G18</f>
        <v>9508</v>
      </c>
      <c r="I18" s="37"/>
    </row>
    <row r="19" spans="1:9" ht="12.75">
      <c r="A19" s="10" t="s">
        <v>38</v>
      </c>
      <c r="B19" s="11" t="s">
        <v>42</v>
      </c>
      <c r="C19" s="32">
        <v>0</v>
      </c>
      <c r="D19" s="83">
        <f>'Credit Values'!$K$104</f>
        <v>1</v>
      </c>
      <c r="E19" s="83">
        <f>'Credit Values'!$F$37</f>
        <v>0.15</v>
      </c>
      <c r="F19" s="82">
        <f>'Credit Values'!$K$105</f>
        <v>1</v>
      </c>
      <c r="G19" s="82">
        <f t="shared" si="0"/>
        <v>0.15</v>
      </c>
      <c r="H19" s="38">
        <f>+C19*G19</f>
        <v>0</v>
      </c>
      <c r="I19" s="39"/>
    </row>
    <row r="20" spans="1:9" ht="12.75">
      <c r="A20" s="87">
        <f>Sales!U54</f>
        <v>237700</v>
      </c>
      <c r="B20" s="11" t="s">
        <v>58</v>
      </c>
      <c r="C20" s="32">
        <v>0</v>
      </c>
      <c r="D20" s="28">
        <f>'Credit Values'!K84</f>
        <v>1.18</v>
      </c>
      <c r="E20" s="83">
        <f>'Credit Values'!$F$36</f>
        <v>1</v>
      </c>
      <c r="F20" s="52">
        <f>'Credit Values'!K85</f>
        <v>1.4524328249818448</v>
      </c>
      <c r="G20" s="82">
        <f t="shared" si="0"/>
        <v>1.7138707334785768</v>
      </c>
      <c r="H20" s="38">
        <f>+C20*G20</f>
        <v>0</v>
      </c>
      <c r="I20" s="39"/>
    </row>
    <row r="21" spans="1:9" ht="12.75">
      <c r="A21" s="10"/>
      <c r="B21" s="11" t="s">
        <v>37</v>
      </c>
      <c r="C21" s="32">
        <f>+SUM(C18:C20)</f>
        <v>3210.5103080096924</v>
      </c>
      <c r="D21" s="28"/>
      <c r="E21" s="47" t="s">
        <v>40</v>
      </c>
      <c r="F21" s="43"/>
      <c r="G21" s="82"/>
      <c r="H21" s="40">
        <f>+SUM(H18:H20)</f>
        <v>9508</v>
      </c>
      <c r="I21" s="41">
        <f>+A20*0.04</f>
        <v>9508</v>
      </c>
    </row>
    <row r="22" spans="1:9" ht="12.75">
      <c r="A22" s="12" t="s">
        <v>22</v>
      </c>
      <c r="B22" s="16" t="s">
        <v>6</v>
      </c>
      <c r="C22" s="31">
        <f>+I25/G22</f>
        <v>881.5305271954825</v>
      </c>
      <c r="D22" s="27">
        <f>'Credit Values'!K88</f>
        <v>1.474</v>
      </c>
      <c r="E22" s="27">
        <f>'Credit Values'!$F$36</f>
        <v>1</v>
      </c>
      <c r="F22" s="51">
        <f>'Credit Values'!K89</f>
        <v>2.859895833333333</v>
      </c>
      <c r="G22" s="51">
        <f>+D22*E22*F22</f>
        <v>4.2154864583333325</v>
      </c>
      <c r="H22" s="34">
        <f>+C22*G22</f>
        <v>3716.08</v>
      </c>
      <c r="I22" s="42"/>
    </row>
    <row r="23" spans="1:9" ht="12.75">
      <c r="A23" s="14" t="s">
        <v>38</v>
      </c>
      <c r="B23" s="16" t="s">
        <v>42</v>
      </c>
      <c r="C23" s="31">
        <v>0</v>
      </c>
      <c r="D23" s="27">
        <f>'Credit Values'!$K$104</f>
        <v>1</v>
      </c>
      <c r="E23" s="27">
        <f>'Credit Values'!$F$37</f>
        <v>0.15</v>
      </c>
      <c r="F23" s="51">
        <f>'Credit Values'!$K$105</f>
        <v>1</v>
      </c>
      <c r="G23" s="51">
        <f>+D23*E23*F23</f>
        <v>0.15</v>
      </c>
      <c r="H23" s="34">
        <f>+C23*G23</f>
        <v>0</v>
      </c>
      <c r="I23" s="42"/>
    </row>
    <row r="24" spans="1:9" ht="12.75">
      <c r="A24" s="86">
        <f>Sales!U58</f>
        <v>92902</v>
      </c>
      <c r="B24" s="7" t="s">
        <v>59</v>
      </c>
      <c r="C24" s="30">
        <v>0</v>
      </c>
      <c r="D24" s="27">
        <f>'Credit Values'!K92</f>
        <v>1.06</v>
      </c>
      <c r="E24" s="27">
        <f>'Credit Values'!$F$36</f>
        <v>1</v>
      </c>
      <c r="F24" s="51">
        <f>'Credit Values'!K93</f>
        <v>1.9480029048656502</v>
      </c>
      <c r="G24" s="51">
        <f>+D24*E24*F24</f>
        <v>2.0648830791575894</v>
      </c>
      <c r="H24" s="34">
        <f>+C24*G24</f>
        <v>0</v>
      </c>
      <c r="I24" s="42"/>
    </row>
    <row r="25" spans="1:9" ht="12.75">
      <c r="A25" s="14"/>
      <c r="B25" s="15" t="s">
        <v>37</v>
      </c>
      <c r="C25" s="30">
        <f>+SUM(C22:C24)</f>
        <v>881.5305271954825</v>
      </c>
      <c r="D25" s="27"/>
      <c r="E25" s="27" t="s">
        <v>40</v>
      </c>
      <c r="F25" s="13"/>
      <c r="G25" s="51"/>
      <c r="H25" s="30">
        <f>+SUM(H22:H24)</f>
        <v>3716.08</v>
      </c>
      <c r="I25" s="42">
        <f>+A24*0.04</f>
        <v>3716.08</v>
      </c>
    </row>
    <row r="26" spans="1:9" ht="12.75">
      <c r="A26" s="9" t="s">
        <v>23</v>
      </c>
      <c r="B26" s="11" t="s">
        <v>7</v>
      </c>
      <c r="C26" s="32">
        <f>+I29/G26</f>
        <v>3275.2138421118066</v>
      </c>
      <c r="D26" s="28">
        <f>'Credit Values'!K96</f>
        <v>1.5544000000000002</v>
      </c>
      <c r="E26" s="83">
        <f>'Credit Values'!$F$36</f>
        <v>1</v>
      </c>
      <c r="F26" s="47">
        <f>'Credit Values'!K97</f>
        <v>2.7354666666666665</v>
      </c>
      <c r="G26" s="82">
        <f>+D26*E26*F26</f>
        <v>4.252009386666667</v>
      </c>
      <c r="H26" s="36">
        <f>+C26*G26</f>
        <v>13926.24</v>
      </c>
      <c r="I26" s="37"/>
    </row>
    <row r="27" spans="1:9" ht="12.75">
      <c r="A27" s="10" t="s">
        <v>38</v>
      </c>
      <c r="B27" s="2" t="s">
        <v>42</v>
      </c>
      <c r="C27" s="32">
        <v>0</v>
      </c>
      <c r="D27" s="83">
        <f>'Credit Values'!$K$104</f>
        <v>1</v>
      </c>
      <c r="E27" s="83">
        <f>'Credit Values'!$F$37</f>
        <v>0.15</v>
      </c>
      <c r="F27" s="82">
        <f>'Credit Values'!$K$105</f>
        <v>1</v>
      </c>
      <c r="G27" s="82">
        <f>+D27*E27*F27</f>
        <v>0.15</v>
      </c>
      <c r="H27" s="38">
        <f>+C27*G27</f>
        <v>0</v>
      </c>
      <c r="I27" s="39"/>
    </row>
    <row r="28" spans="1:9" ht="12.75">
      <c r="A28" s="87">
        <f>Sales!U62</f>
        <v>348156</v>
      </c>
      <c r="B28" s="11" t="s">
        <v>60</v>
      </c>
      <c r="C28" s="32">
        <v>0</v>
      </c>
      <c r="D28" s="28">
        <f>'Credit Values'!K100</f>
        <v>1.06</v>
      </c>
      <c r="E28" s="83">
        <f>'Credit Values'!$F$36</f>
        <v>1</v>
      </c>
      <c r="F28" s="52">
        <f>'Credit Values'!K101</f>
        <v>1.8503994190268702</v>
      </c>
      <c r="G28" s="82">
        <f>+D28*E28*F28</f>
        <v>1.9614233841684825</v>
      </c>
      <c r="H28" s="38">
        <f>+C28*G28</f>
        <v>0</v>
      </c>
      <c r="I28" s="39"/>
    </row>
    <row r="29" spans="1:11" ht="12.75">
      <c r="A29" s="4"/>
      <c r="B29" s="1" t="s">
        <v>37</v>
      </c>
      <c r="C29" s="32">
        <f>+SUM(C26:C28)</f>
        <v>3275.2138421118066</v>
      </c>
      <c r="D29" s="28"/>
      <c r="E29" s="29" t="s">
        <v>40</v>
      </c>
      <c r="F29" s="43"/>
      <c r="G29" s="52"/>
      <c r="H29" s="40">
        <f>+SUM(H26:H28)</f>
        <v>13926.24</v>
      </c>
      <c r="I29" s="41">
        <f>+A28*0.04</f>
        <v>13926.24</v>
      </c>
      <c r="J29" s="105" t="s">
        <v>178</v>
      </c>
      <c r="K29" s="105" t="s">
        <v>47</v>
      </c>
    </row>
    <row r="30" spans="7:11" ht="12.75">
      <c r="G30" s="85"/>
      <c r="H30" s="33"/>
      <c r="I30" s="22"/>
      <c r="J30" s="105" t="s">
        <v>12</v>
      </c>
      <c r="K30" s="105" t="s">
        <v>179</v>
      </c>
    </row>
    <row r="31" spans="1:11" ht="12.75">
      <c r="A31" s="88">
        <f>+A28+A24+A20+A16+A12+A8</f>
        <v>1883280</v>
      </c>
      <c r="B31" s="7" t="s">
        <v>35</v>
      </c>
      <c r="C31" s="26">
        <f>+C29+C25+C21+C17+C13+C9</f>
        <v>25421.808215485602</v>
      </c>
      <c r="D31" s="25"/>
      <c r="E31" s="25"/>
      <c r="F31" s="25"/>
      <c r="G31" s="84"/>
      <c r="H31" s="26">
        <f>+H29+H25+H21+H17+H13+H9</f>
        <v>75331.2</v>
      </c>
      <c r="I31" s="26">
        <f>+I29+I25+I21+I17+I13+I9</f>
        <v>75331.2</v>
      </c>
      <c r="J31" s="106">
        <f>I31/C31</f>
        <v>2.9632510544278383</v>
      </c>
      <c r="K31" s="107">
        <f>'Fleet totals'!F17/J31</f>
        <v>0.01349868751087762</v>
      </c>
    </row>
    <row r="32" ht="12.75">
      <c r="G32" s="85"/>
    </row>
    <row r="33" spans="1:9" ht="12.75">
      <c r="A33" s="7" t="s">
        <v>126</v>
      </c>
      <c r="B33" s="7"/>
      <c r="C33" s="31">
        <f>+I33/G33</f>
        <v>24905.417142857146</v>
      </c>
      <c r="D33" s="27">
        <f>'Credit Values'!K108</f>
        <v>1.75</v>
      </c>
      <c r="E33" s="27">
        <f>'Credit Values'!$F$36</f>
        <v>1</v>
      </c>
      <c r="F33" s="84">
        <f>'Credit Values'!K109</f>
        <v>1.728395061728395</v>
      </c>
      <c r="G33" s="27">
        <f>+D33*E33*F33</f>
        <v>3.024691358024691</v>
      </c>
      <c r="H33" s="31">
        <f>+C33*G33</f>
        <v>75331.2</v>
      </c>
      <c r="I33" s="26">
        <f>+I31+I27+I23+I19+I15+I11</f>
        <v>75331.2</v>
      </c>
    </row>
  </sheetData>
  <mergeCells count="1">
    <mergeCell ref="D3:F3"/>
  </mergeCells>
  <printOptions/>
  <pageMargins left="0.75" right="0.75" top="1" bottom="1" header="0.5" footer="0.5"/>
  <pageSetup fitToHeight="1" fitToWidth="1" horizontalDpi="600" verticalDpi="600" orientation="landscape" r:id="rId4"/>
  <headerFooter alignWithMargins="0">
    <oddHeader>&amp;C&amp;"Arial,Bold"&amp;20Includes Intermediate Manufacturers</oddHead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K33"/>
  <sheetViews>
    <sheetView zoomScale="75" zoomScaleNormal="75" workbookViewId="0" topLeftCell="A1">
      <selection activeCell="R38" sqref="R38"/>
    </sheetView>
  </sheetViews>
  <sheetFormatPr defaultColWidth="9.140625" defaultRowHeight="12.75"/>
  <cols>
    <col min="1" max="1" width="13.421875" style="0" customWidth="1"/>
    <col min="2" max="2" width="17.421875" style="0" customWidth="1"/>
    <col min="6" max="6" width="10.7109375" style="0" customWidth="1"/>
    <col min="7" max="7" width="11.28125" style="0" customWidth="1"/>
    <col min="11" max="11" width="12.00390625" style="0" customWidth="1"/>
  </cols>
  <sheetData>
    <row r="1" ht="12.75">
      <c r="A1" t="s">
        <v>153</v>
      </c>
    </row>
    <row r="2" ht="12.75">
      <c r="D2" s="2"/>
    </row>
    <row r="3" spans="1:9" ht="12.75">
      <c r="A3" s="9" t="s">
        <v>17</v>
      </c>
      <c r="B3" s="19" t="s">
        <v>11</v>
      </c>
      <c r="C3" s="19" t="s">
        <v>55</v>
      </c>
      <c r="D3" s="135" t="s">
        <v>12</v>
      </c>
      <c r="E3" s="140"/>
      <c r="F3" s="136"/>
      <c r="G3" s="19" t="s">
        <v>35</v>
      </c>
      <c r="H3" s="9" t="s">
        <v>29</v>
      </c>
      <c r="I3" s="9" t="s">
        <v>39</v>
      </c>
    </row>
    <row r="4" spans="1:9" ht="12.75">
      <c r="A4" s="4"/>
      <c r="B4" s="4"/>
      <c r="C4" s="4" t="s">
        <v>30</v>
      </c>
      <c r="D4" s="18" t="s">
        <v>28</v>
      </c>
      <c r="E4" s="17" t="s">
        <v>54</v>
      </c>
      <c r="F4" s="6" t="s">
        <v>48</v>
      </c>
      <c r="G4" s="4" t="s">
        <v>56</v>
      </c>
      <c r="H4" s="4" t="s">
        <v>36</v>
      </c>
      <c r="I4" s="4" t="s">
        <v>36</v>
      </c>
    </row>
    <row r="5" spans="1:9" ht="12.75">
      <c r="A5" s="10"/>
      <c r="B5" s="4"/>
      <c r="C5" s="4"/>
      <c r="D5" s="18"/>
      <c r="E5" s="17" t="s">
        <v>40</v>
      </c>
      <c r="F5" s="6" t="s">
        <v>40</v>
      </c>
      <c r="G5" s="4"/>
      <c r="H5" s="6"/>
      <c r="I5" s="10"/>
    </row>
    <row r="6" spans="1:9" ht="12.75">
      <c r="A6" s="12" t="s">
        <v>18</v>
      </c>
      <c r="B6" s="15" t="s">
        <v>24</v>
      </c>
      <c r="C6" s="30">
        <f>+I9/G6</f>
        <v>6840.521699442382</v>
      </c>
      <c r="D6" s="27">
        <f>'Credit Values'!K56</f>
        <v>1.252</v>
      </c>
      <c r="E6" s="27">
        <f>'Credit Values'!$G$36</f>
        <v>1</v>
      </c>
      <c r="F6" s="51">
        <f>'Credit Values'!K57</f>
        <v>1.504672897196262</v>
      </c>
      <c r="G6" s="51">
        <f>+D6*E6*F6</f>
        <v>1.88385046728972</v>
      </c>
      <c r="H6" s="34">
        <f>+C6*G6</f>
        <v>12886.52</v>
      </c>
      <c r="I6" s="30"/>
    </row>
    <row r="7" spans="1:9" ht="12.75">
      <c r="A7" s="14" t="s">
        <v>38</v>
      </c>
      <c r="B7" s="7" t="s">
        <v>42</v>
      </c>
      <c r="C7" s="31">
        <v>0</v>
      </c>
      <c r="D7" s="27">
        <f>'Credit Values'!$K$104</f>
        <v>1</v>
      </c>
      <c r="E7" s="27">
        <f>'Credit Values'!$G$37</f>
        <v>0.15</v>
      </c>
      <c r="F7" s="51">
        <f>'Credit Values'!$K$105</f>
        <v>1</v>
      </c>
      <c r="G7" s="51">
        <f>+D7*E7*F7</f>
        <v>0.15</v>
      </c>
      <c r="H7" s="34">
        <f>+C7*G7</f>
        <v>0</v>
      </c>
      <c r="I7" s="42"/>
    </row>
    <row r="8" spans="1:9" ht="12.75">
      <c r="A8" s="86">
        <f>Sales!V42</f>
        <v>322163</v>
      </c>
      <c r="B8" s="7" t="s">
        <v>27</v>
      </c>
      <c r="C8" s="31">
        <v>0</v>
      </c>
      <c r="D8" s="27">
        <f>'Credit Values'!K60</f>
        <v>1</v>
      </c>
      <c r="E8" s="27">
        <f>'Credit Values'!$G$36</f>
        <v>1</v>
      </c>
      <c r="F8" s="51">
        <f>'Credit Values'!K61</f>
        <v>1.3507625272331156</v>
      </c>
      <c r="G8" s="51">
        <f>+D8*E8*F8</f>
        <v>1.3507625272331156</v>
      </c>
      <c r="H8" s="34">
        <f>+C8*G8</f>
        <v>0</v>
      </c>
      <c r="I8" s="42"/>
    </row>
    <row r="9" spans="1:9" ht="12.75">
      <c r="A9" s="14"/>
      <c r="B9" s="16" t="s">
        <v>37</v>
      </c>
      <c r="C9" s="31">
        <f>+SUM(C6:C8)</f>
        <v>6840.521699442382</v>
      </c>
      <c r="D9" s="27"/>
      <c r="E9" s="27" t="s">
        <v>40</v>
      </c>
      <c r="F9" s="13"/>
      <c r="G9" s="51"/>
      <c r="H9" s="30">
        <f>+SUM(H6:H8)</f>
        <v>12886.52</v>
      </c>
      <c r="I9" s="44">
        <f>+A8*0.04</f>
        <v>12886.52</v>
      </c>
    </row>
    <row r="10" spans="1:9" ht="12.75">
      <c r="A10" s="9" t="s">
        <v>19</v>
      </c>
      <c r="B10" s="11" t="s">
        <v>34</v>
      </c>
      <c r="C10" s="32">
        <f>+I13/G10</f>
        <v>6449.975526246579</v>
      </c>
      <c r="D10" s="28">
        <f>'Credit Values'!K64</f>
        <v>1.192</v>
      </c>
      <c r="E10" s="83">
        <f>'Credit Values'!$G$36</f>
        <v>1</v>
      </c>
      <c r="F10" s="52">
        <f>'Credit Values'!K65</f>
        <v>2.2048</v>
      </c>
      <c r="G10" s="82">
        <f>+D10*E10*F10</f>
        <v>2.6281216</v>
      </c>
      <c r="H10" s="36">
        <f>+C10*G10</f>
        <v>16951.32</v>
      </c>
      <c r="I10" s="37"/>
    </row>
    <row r="11" spans="1:9" ht="12.75">
      <c r="A11" s="10" t="s">
        <v>38</v>
      </c>
      <c r="B11" s="11" t="s">
        <v>42</v>
      </c>
      <c r="C11" s="32">
        <v>0</v>
      </c>
      <c r="D11" s="83">
        <f>'Credit Values'!$K$104</f>
        <v>1</v>
      </c>
      <c r="E11" s="83">
        <f>'Credit Values'!$G$37</f>
        <v>0.15</v>
      </c>
      <c r="F11" s="82">
        <f>'Credit Values'!$K$105</f>
        <v>1</v>
      </c>
      <c r="G11" s="82">
        <f>+D11*E11*F11</f>
        <v>0.15</v>
      </c>
      <c r="H11" s="38">
        <f>+C11*G11</f>
        <v>0</v>
      </c>
      <c r="I11" s="39"/>
    </row>
    <row r="12" spans="1:9" ht="12.75">
      <c r="A12" s="87">
        <f>Sales!V46</f>
        <v>423783</v>
      </c>
      <c r="B12" s="11" t="s">
        <v>57</v>
      </c>
      <c r="C12" s="32">
        <v>0</v>
      </c>
      <c r="D12" s="28">
        <f>'Credit Values'!K68</f>
        <v>1</v>
      </c>
      <c r="E12" s="83">
        <f>'Credit Values'!$G$36</f>
        <v>1</v>
      </c>
      <c r="F12" s="52">
        <f>'Credit Values'!K69</f>
        <v>1.3500363108206248</v>
      </c>
      <c r="G12" s="82">
        <f>+D12*E12*F12</f>
        <v>1.3500363108206248</v>
      </c>
      <c r="H12" s="38">
        <f>+C12*G12</f>
        <v>0</v>
      </c>
      <c r="I12" s="39"/>
    </row>
    <row r="13" spans="1:9" ht="12.75">
      <c r="A13" s="4"/>
      <c r="B13" s="11" t="s">
        <v>37</v>
      </c>
      <c r="C13" s="32">
        <f>+SUM(C10:C12)</f>
        <v>6449.975526246579</v>
      </c>
      <c r="D13" s="28"/>
      <c r="E13" s="47" t="s">
        <v>40</v>
      </c>
      <c r="F13" s="43"/>
      <c r="G13" s="82"/>
      <c r="H13" s="40">
        <f>+SUM(H10:H12)</f>
        <v>16951.32</v>
      </c>
      <c r="I13" s="41">
        <f>+A12*0.04</f>
        <v>16951.32</v>
      </c>
    </row>
    <row r="14" spans="1:9" ht="12.75">
      <c r="A14" s="12" t="s">
        <v>20</v>
      </c>
      <c r="B14" s="7" t="s">
        <v>25</v>
      </c>
      <c r="C14" s="31">
        <f>+I17/G14</f>
        <v>4764.056312479662</v>
      </c>
      <c r="D14" s="27">
        <f>'Credit Values'!K72</f>
        <v>1.3666</v>
      </c>
      <c r="E14" s="27">
        <f>'Credit Values'!$G$36</f>
        <v>1</v>
      </c>
      <c r="F14" s="51">
        <f>'Credit Values'!K73</f>
        <v>2.8174291938997817</v>
      </c>
      <c r="G14" s="51">
        <f aca="true" t="shared" si="0" ref="G14:G20">+D14*E14*F14</f>
        <v>3.8502987363834418</v>
      </c>
      <c r="H14" s="34">
        <f>+C14*G14</f>
        <v>18343.04</v>
      </c>
      <c r="I14" s="42"/>
    </row>
    <row r="15" spans="1:10" ht="12.75">
      <c r="A15" s="14" t="s">
        <v>38</v>
      </c>
      <c r="B15" s="15" t="s">
        <v>42</v>
      </c>
      <c r="C15" s="31">
        <v>0</v>
      </c>
      <c r="D15" s="27">
        <f>'Credit Values'!$K$104</f>
        <v>1</v>
      </c>
      <c r="E15" s="27">
        <f>'Credit Values'!$G$37</f>
        <v>0.15</v>
      </c>
      <c r="F15" s="51">
        <f>'Credit Values'!$K$105</f>
        <v>1</v>
      </c>
      <c r="G15" s="51">
        <f t="shared" si="0"/>
        <v>0.15</v>
      </c>
      <c r="H15" s="34">
        <f>+C15*G15</f>
        <v>0</v>
      </c>
      <c r="I15" s="42"/>
      <c r="J15" s="23"/>
    </row>
    <row r="16" spans="1:9" ht="12.75">
      <c r="A16" s="86">
        <f>Sales!V50</f>
        <v>458576</v>
      </c>
      <c r="B16" s="7" t="s">
        <v>27</v>
      </c>
      <c r="C16" s="31">
        <v>0</v>
      </c>
      <c r="D16" s="27">
        <f>'Credit Values'!K76</f>
        <v>1</v>
      </c>
      <c r="E16" s="27">
        <f>'Credit Values'!$G$36</f>
        <v>1</v>
      </c>
      <c r="F16" s="51">
        <f>'Credit Values'!K77</f>
        <v>1.3507625272331156</v>
      </c>
      <c r="G16" s="51">
        <f t="shared" si="0"/>
        <v>1.3507625272331156</v>
      </c>
      <c r="H16" s="34">
        <f>+C16*G16</f>
        <v>0</v>
      </c>
      <c r="I16" s="42"/>
    </row>
    <row r="17" spans="1:9" ht="12.75">
      <c r="A17" s="13"/>
      <c r="B17" s="7" t="s">
        <v>37</v>
      </c>
      <c r="C17" s="31">
        <f>+SUM(C14:C16)</f>
        <v>4764.056312479662</v>
      </c>
      <c r="D17" s="27"/>
      <c r="E17" s="27"/>
      <c r="F17" s="13"/>
      <c r="G17" s="51">
        <f t="shared" si="0"/>
        <v>0</v>
      </c>
      <c r="H17" s="30">
        <f>+SUM(H14:H16)</f>
        <v>18343.04</v>
      </c>
      <c r="I17" s="42">
        <f>+A16*0.04</f>
        <v>18343.04</v>
      </c>
    </row>
    <row r="18" spans="1:9" ht="12.75">
      <c r="A18" s="9" t="s">
        <v>21</v>
      </c>
      <c r="B18" s="11" t="s">
        <v>26</v>
      </c>
      <c r="C18" s="32">
        <f>+I21/G18</f>
        <v>3210.5103080096924</v>
      </c>
      <c r="D18" s="28">
        <f>'Credit Values'!K80</f>
        <v>1.4512</v>
      </c>
      <c r="E18" s="83">
        <f>'Credit Values'!$G$36</f>
        <v>1</v>
      </c>
      <c r="F18" s="52">
        <f>'Credit Values'!K81</f>
        <v>2.0407407407407407</v>
      </c>
      <c r="G18" s="82">
        <f t="shared" si="0"/>
        <v>2.961522962962963</v>
      </c>
      <c r="H18" s="36">
        <f>+C18*G18</f>
        <v>9508</v>
      </c>
      <c r="I18" s="37"/>
    </row>
    <row r="19" spans="1:9" ht="12.75">
      <c r="A19" s="10" t="s">
        <v>38</v>
      </c>
      <c r="B19" s="11" t="s">
        <v>42</v>
      </c>
      <c r="C19" s="32">
        <v>0</v>
      </c>
      <c r="D19" s="83">
        <f>'Credit Values'!$K$104</f>
        <v>1</v>
      </c>
      <c r="E19" s="83">
        <f>'Credit Values'!$G$37</f>
        <v>0.15</v>
      </c>
      <c r="F19" s="82">
        <f>'Credit Values'!$K$105</f>
        <v>1</v>
      </c>
      <c r="G19" s="82">
        <f t="shared" si="0"/>
        <v>0.15</v>
      </c>
      <c r="H19" s="38">
        <f>+C19*G19</f>
        <v>0</v>
      </c>
      <c r="I19" s="39"/>
    </row>
    <row r="20" spans="1:9" ht="12.75">
      <c r="A20" s="87">
        <f>Sales!V54</f>
        <v>237700</v>
      </c>
      <c r="B20" s="11" t="s">
        <v>58</v>
      </c>
      <c r="C20" s="32">
        <v>0</v>
      </c>
      <c r="D20" s="28">
        <f>'Credit Values'!K84</f>
        <v>1.18</v>
      </c>
      <c r="E20" s="83">
        <f>'Credit Values'!$G$36</f>
        <v>1</v>
      </c>
      <c r="F20" s="52">
        <f>'Credit Values'!K85</f>
        <v>1.4524328249818448</v>
      </c>
      <c r="G20" s="82">
        <f t="shared" si="0"/>
        <v>1.7138707334785768</v>
      </c>
      <c r="H20" s="38">
        <f>+C20*G20</f>
        <v>0</v>
      </c>
      <c r="I20" s="39"/>
    </row>
    <row r="21" spans="1:9" ht="12.75">
      <c r="A21" s="10"/>
      <c r="B21" s="11" t="s">
        <v>37</v>
      </c>
      <c r="C21" s="32">
        <f>+SUM(C18:C20)</f>
        <v>3210.5103080096924</v>
      </c>
      <c r="D21" s="28"/>
      <c r="E21" s="47" t="s">
        <v>40</v>
      </c>
      <c r="F21" s="43"/>
      <c r="G21" s="82"/>
      <c r="H21" s="40">
        <f>+SUM(H18:H20)</f>
        <v>9508</v>
      </c>
      <c r="I21" s="41">
        <f>+A20*0.04</f>
        <v>9508</v>
      </c>
    </row>
    <row r="22" spans="1:9" ht="12.75">
      <c r="A22" s="12" t="s">
        <v>22</v>
      </c>
      <c r="B22" s="16" t="s">
        <v>6</v>
      </c>
      <c r="C22" s="31">
        <f>+I25/G22</f>
        <v>881.5305271954825</v>
      </c>
      <c r="D22" s="27">
        <f>'Credit Values'!K88</f>
        <v>1.474</v>
      </c>
      <c r="E22" s="27">
        <f>'Credit Values'!$G$36</f>
        <v>1</v>
      </c>
      <c r="F22" s="51">
        <f>'Credit Values'!K89</f>
        <v>2.859895833333333</v>
      </c>
      <c r="G22" s="51">
        <f>+D22*E22*F22</f>
        <v>4.2154864583333325</v>
      </c>
      <c r="H22" s="34">
        <f>+C22*G22</f>
        <v>3716.08</v>
      </c>
      <c r="I22" s="42"/>
    </row>
    <row r="23" spans="1:9" ht="12.75">
      <c r="A23" s="14" t="s">
        <v>38</v>
      </c>
      <c r="B23" s="16" t="s">
        <v>42</v>
      </c>
      <c r="C23" s="31">
        <v>0</v>
      </c>
      <c r="D23" s="27">
        <f>'Credit Values'!$K$104</f>
        <v>1</v>
      </c>
      <c r="E23" s="27">
        <f>'Credit Values'!$G$37</f>
        <v>0.15</v>
      </c>
      <c r="F23" s="51">
        <f>'Credit Values'!$K$105</f>
        <v>1</v>
      </c>
      <c r="G23" s="51">
        <f>+D23*E23*F23</f>
        <v>0.15</v>
      </c>
      <c r="H23" s="34">
        <f>+C23*G23</f>
        <v>0</v>
      </c>
      <c r="I23" s="42"/>
    </row>
    <row r="24" spans="1:9" ht="12.75">
      <c r="A24" s="86">
        <f>Sales!V58</f>
        <v>92902</v>
      </c>
      <c r="B24" s="7" t="s">
        <v>59</v>
      </c>
      <c r="C24" s="30">
        <v>0</v>
      </c>
      <c r="D24" s="27">
        <f>'Credit Values'!K92</f>
        <v>1.06</v>
      </c>
      <c r="E24" s="27">
        <f>'Credit Values'!$G$36</f>
        <v>1</v>
      </c>
      <c r="F24" s="51">
        <f>'Credit Values'!K93</f>
        <v>1.9480029048656502</v>
      </c>
      <c r="G24" s="51">
        <f>+D24*E24*F24</f>
        <v>2.0648830791575894</v>
      </c>
      <c r="H24" s="34">
        <f>+C24*G24</f>
        <v>0</v>
      </c>
      <c r="I24" s="42"/>
    </row>
    <row r="25" spans="1:9" ht="12.75">
      <c r="A25" s="14"/>
      <c r="B25" s="15" t="s">
        <v>37</v>
      </c>
      <c r="C25" s="30">
        <f>+SUM(C22:C24)</f>
        <v>881.5305271954825</v>
      </c>
      <c r="D25" s="27"/>
      <c r="E25" s="27" t="s">
        <v>40</v>
      </c>
      <c r="F25" s="13"/>
      <c r="G25" s="51"/>
      <c r="H25" s="30">
        <f>+SUM(H22:H24)</f>
        <v>3716.08</v>
      </c>
      <c r="I25" s="42">
        <f>+A24*0.04</f>
        <v>3716.08</v>
      </c>
    </row>
    <row r="26" spans="1:9" ht="12.75">
      <c r="A26" s="9" t="s">
        <v>23</v>
      </c>
      <c r="B26" s="11" t="s">
        <v>7</v>
      </c>
      <c r="C26" s="32">
        <f>+I29/G26</f>
        <v>3275.2138421118066</v>
      </c>
      <c r="D26" s="28">
        <f>'Credit Values'!K96</f>
        <v>1.5544000000000002</v>
      </c>
      <c r="E26" s="83">
        <f>'Credit Values'!$G$36</f>
        <v>1</v>
      </c>
      <c r="F26" s="47">
        <f>'Credit Values'!K97</f>
        <v>2.7354666666666665</v>
      </c>
      <c r="G26" s="82">
        <f>+D26*E26*F26</f>
        <v>4.252009386666667</v>
      </c>
      <c r="H26" s="36">
        <f>+C26*G26</f>
        <v>13926.24</v>
      </c>
      <c r="I26" s="37"/>
    </row>
    <row r="27" spans="1:9" ht="12.75">
      <c r="A27" s="10" t="s">
        <v>38</v>
      </c>
      <c r="B27" s="2" t="s">
        <v>42</v>
      </c>
      <c r="C27" s="32">
        <v>0</v>
      </c>
      <c r="D27" s="83">
        <f>'Credit Values'!$K$104</f>
        <v>1</v>
      </c>
      <c r="E27" s="83">
        <f>'Credit Values'!$G$37</f>
        <v>0.15</v>
      </c>
      <c r="F27" s="82">
        <f>'Credit Values'!$K$105</f>
        <v>1</v>
      </c>
      <c r="G27" s="82">
        <f>+D27*E27*F27</f>
        <v>0.15</v>
      </c>
      <c r="H27" s="38">
        <f>+C27*G27</f>
        <v>0</v>
      </c>
      <c r="I27" s="39"/>
    </row>
    <row r="28" spans="1:9" ht="12.75">
      <c r="A28" s="87">
        <f>Sales!V62</f>
        <v>348156</v>
      </c>
      <c r="B28" s="11" t="s">
        <v>60</v>
      </c>
      <c r="C28" s="32">
        <v>0</v>
      </c>
      <c r="D28" s="28">
        <f>'Credit Values'!K100</f>
        <v>1.06</v>
      </c>
      <c r="E28" s="83">
        <f>'Credit Values'!$G$36</f>
        <v>1</v>
      </c>
      <c r="F28" s="52">
        <f>'Credit Values'!K101</f>
        <v>1.8503994190268702</v>
      </c>
      <c r="G28" s="82">
        <f>+D28*E28*F28</f>
        <v>1.9614233841684825</v>
      </c>
      <c r="H28" s="38">
        <f>+C28*G28</f>
        <v>0</v>
      </c>
      <c r="I28" s="39"/>
    </row>
    <row r="29" spans="1:11" ht="12.75">
      <c r="A29" s="4" t="s">
        <v>40</v>
      </c>
      <c r="B29" s="1" t="s">
        <v>37</v>
      </c>
      <c r="C29" s="32">
        <f>+SUM(C26:C28)</f>
        <v>3275.2138421118066</v>
      </c>
      <c r="D29" s="28"/>
      <c r="E29" s="29" t="s">
        <v>40</v>
      </c>
      <c r="F29" s="43"/>
      <c r="G29" s="52"/>
      <c r="H29" s="40">
        <f>+SUM(H26:H28)</f>
        <v>13926.24</v>
      </c>
      <c r="I29" s="41">
        <f>+A28*0.04</f>
        <v>13926.24</v>
      </c>
      <c r="J29" s="105" t="s">
        <v>178</v>
      </c>
      <c r="K29" s="105" t="s">
        <v>47</v>
      </c>
    </row>
    <row r="30" spans="7:11" ht="12.75">
      <c r="G30" s="85"/>
      <c r="H30" s="33"/>
      <c r="I30" s="22"/>
      <c r="J30" s="105" t="s">
        <v>12</v>
      </c>
      <c r="K30" s="105" t="s">
        <v>179</v>
      </c>
    </row>
    <row r="31" spans="1:11" ht="12.75">
      <c r="A31" s="88">
        <f>+A28+A24+A20+A16+A12+A8</f>
        <v>1883280</v>
      </c>
      <c r="B31" s="7" t="s">
        <v>35</v>
      </c>
      <c r="C31" s="26">
        <f>+C29+C25+C21+C17+C13+C9</f>
        <v>25421.808215485602</v>
      </c>
      <c r="D31" s="25"/>
      <c r="E31" s="25"/>
      <c r="F31" s="25"/>
      <c r="G31" s="84"/>
      <c r="H31" s="26">
        <f>+H29+H25+H21+H17+H13+H9</f>
        <v>75331.2</v>
      </c>
      <c r="I31" s="26">
        <f>+I29+I25+I21+I17+I13+I9</f>
        <v>75331.2</v>
      </c>
      <c r="J31" s="106">
        <f>I31/C31</f>
        <v>2.9632510544278383</v>
      </c>
      <c r="K31" s="107">
        <f>'Fleet totals'!F18/J31</f>
        <v>0.01349868751087762</v>
      </c>
    </row>
    <row r="32" ht="12.75">
      <c r="G32" s="85"/>
    </row>
    <row r="33" spans="1:9" ht="12.75">
      <c r="A33" s="7" t="s">
        <v>126</v>
      </c>
      <c r="B33" s="7"/>
      <c r="C33" s="31">
        <f>+I33/G33</f>
        <v>24905.417142857146</v>
      </c>
      <c r="D33" s="27">
        <f>'Credit Values'!K108</f>
        <v>1.75</v>
      </c>
      <c r="E33" s="27">
        <f>'Credit Values'!$G$36</f>
        <v>1</v>
      </c>
      <c r="F33" s="84">
        <f>'Credit Values'!K109</f>
        <v>1.728395061728395</v>
      </c>
      <c r="G33" s="27">
        <f>+D33*E33*F33</f>
        <v>3.024691358024691</v>
      </c>
      <c r="H33" s="31">
        <f>+C33*G33</f>
        <v>75331.2</v>
      </c>
      <c r="I33" s="26">
        <f>+I31+I27+I23+I19+I15+I11</f>
        <v>75331.2</v>
      </c>
    </row>
  </sheetData>
  <mergeCells count="1">
    <mergeCell ref="D3:F3"/>
  </mergeCells>
  <printOptions/>
  <pageMargins left="0.75" right="0.75" top="1" bottom="1" header="0.5" footer="0.5"/>
  <pageSetup fitToHeight="1" fitToWidth="1" horizontalDpi="600" verticalDpi="600" orientation="landscape" r:id="rId4"/>
  <headerFooter alignWithMargins="0">
    <oddHeader>&amp;C&amp;"Arial,Bold"&amp;20Includes Intermediate Manufacturers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66"/>
  <sheetViews>
    <sheetView view="pageBreakPreview" zoomScale="50" zoomScaleSheetLayoutView="50" workbookViewId="0" topLeftCell="L21">
      <selection activeCell="O38" sqref="O38"/>
    </sheetView>
  </sheetViews>
  <sheetFormatPr defaultColWidth="9.140625" defaultRowHeight="12.75"/>
  <cols>
    <col min="1" max="1" width="7.7109375" style="0" bestFit="1" customWidth="1"/>
    <col min="2" max="2" width="14.421875" style="0" bestFit="1" customWidth="1"/>
    <col min="3" max="5" width="8.7109375" style="0" bestFit="1" customWidth="1"/>
    <col min="6" max="6" width="9.421875" style="0" bestFit="1" customWidth="1"/>
    <col min="7" max="32" width="9.8515625" style="0" bestFit="1" customWidth="1"/>
  </cols>
  <sheetData>
    <row r="1" ht="12.75">
      <c r="A1" s="48" t="s">
        <v>93</v>
      </c>
    </row>
    <row r="2" ht="12.75">
      <c r="A2" s="48"/>
    </row>
    <row r="3" spans="1:32" ht="12.75">
      <c r="A3" s="1" t="s">
        <v>146</v>
      </c>
      <c r="B3" s="1" t="s">
        <v>133</v>
      </c>
      <c r="C3" s="90">
        <v>1997</v>
      </c>
      <c r="D3" s="90">
        <v>1998</v>
      </c>
      <c r="E3" s="90">
        <v>1999</v>
      </c>
      <c r="F3" s="92" t="s">
        <v>158</v>
      </c>
      <c r="G3" s="90">
        <v>2000</v>
      </c>
      <c r="H3" s="90">
        <v>2001</v>
      </c>
      <c r="I3" s="90">
        <v>2002</v>
      </c>
      <c r="J3" s="92" t="s">
        <v>158</v>
      </c>
      <c r="K3" s="90">
        <v>2003</v>
      </c>
      <c r="L3" s="90">
        <v>2004</v>
      </c>
      <c r="M3" s="90">
        <v>2005</v>
      </c>
      <c r="N3" s="92" t="s">
        <v>158</v>
      </c>
      <c r="O3" s="90">
        <v>2006</v>
      </c>
      <c r="P3" s="90">
        <v>2007</v>
      </c>
      <c r="Q3" s="90">
        <v>2008</v>
      </c>
      <c r="R3" s="92" t="s">
        <v>158</v>
      </c>
      <c r="S3" s="90">
        <v>2009</v>
      </c>
      <c r="T3" s="90">
        <v>2010</v>
      </c>
      <c r="U3" s="90">
        <v>2011</v>
      </c>
      <c r="V3" s="92" t="s">
        <v>158</v>
      </c>
      <c r="W3" s="90">
        <v>2012</v>
      </c>
      <c r="X3" s="90">
        <v>2013</v>
      </c>
      <c r="Y3" s="90">
        <v>2014</v>
      </c>
      <c r="Z3" s="92" t="s">
        <v>158</v>
      </c>
      <c r="AA3" s="90">
        <v>2015</v>
      </c>
      <c r="AB3" s="90">
        <v>2016</v>
      </c>
      <c r="AC3" s="90">
        <v>2017</v>
      </c>
      <c r="AD3" s="90">
        <v>2018</v>
      </c>
      <c r="AE3" s="90">
        <v>2019</v>
      </c>
      <c r="AF3" s="90">
        <v>2020</v>
      </c>
    </row>
    <row r="4" spans="1:3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2.75">
      <c r="A5" s="1" t="s">
        <v>138</v>
      </c>
      <c r="B5" s="1" t="s">
        <v>134</v>
      </c>
      <c r="C5" s="1">
        <v>71130</v>
      </c>
      <c r="D5" s="1">
        <v>70786</v>
      </c>
      <c r="E5" s="1">
        <v>99010</v>
      </c>
      <c r="F5" s="32">
        <f>+SUM(C5:E5)/3</f>
        <v>80308.66666666667</v>
      </c>
      <c r="G5" s="1">
        <v>163356</v>
      </c>
      <c r="H5" s="1">
        <v>163356</v>
      </c>
      <c r="I5" s="1">
        <v>163356</v>
      </c>
      <c r="J5" s="32">
        <f>+SUM(G5:I5)/3</f>
        <v>163356</v>
      </c>
      <c r="K5" s="1">
        <v>163356</v>
      </c>
      <c r="L5" s="1">
        <v>163356</v>
      </c>
      <c r="M5" s="1">
        <v>163356</v>
      </c>
      <c r="N5" s="32">
        <f>+SUM(K5:M5)/3</f>
        <v>163356</v>
      </c>
      <c r="O5" s="1">
        <v>163356</v>
      </c>
      <c r="P5" s="1">
        <v>163356</v>
      </c>
      <c r="Q5" s="1">
        <v>163356</v>
      </c>
      <c r="R5" s="32">
        <f>+SUM(O5:Q5)/3</f>
        <v>163356</v>
      </c>
      <c r="S5" s="1">
        <v>163356</v>
      </c>
      <c r="T5" s="1">
        <v>163356</v>
      </c>
      <c r="U5" s="1">
        <v>163356</v>
      </c>
      <c r="V5" s="32">
        <f>+SUM(S5:U5)/3</f>
        <v>163356</v>
      </c>
      <c r="W5" s="1">
        <v>163356</v>
      </c>
      <c r="X5" s="1">
        <v>163356</v>
      </c>
      <c r="Y5" s="1">
        <v>163356</v>
      </c>
      <c r="Z5" s="32">
        <f>+SUM(W5:Y5)/3</f>
        <v>163356</v>
      </c>
      <c r="AA5" s="1"/>
      <c r="AB5" s="1"/>
      <c r="AC5" s="1"/>
      <c r="AD5" s="1"/>
      <c r="AE5" s="1"/>
      <c r="AF5" s="1"/>
    </row>
    <row r="6" spans="1:32" ht="12.75">
      <c r="A6" s="1"/>
      <c r="B6" s="1" t="s">
        <v>135</v>
      </c>
      <c r="C6" s="1"/>
      <c r="D6" s="1"/>
      <c r="E6" s="1"/>
      <c r="F6" s="32">
        <f>+SUM(C6:E6)/3</f>
        <v>0</v>
      </c>
      <c r="G6" s="1">
        <v>158807</v>
      </c>
      <c r="H6" s="1">
        <v>158807</v>
      </c>
      <c r="I6" s="1">
        <v>158807</v>
      </c>
      <c r="J6" s="32">
        <f>+SUM(G6:I6)/3</f>
        <v>158807</v>
      </c>
      <c r="K6" s="1">
        <v>158807</v>
      </c>
      <c r="L6" s="1">
        <v>158807</v>
      </c>
      <c r="M6" s="1">
        <v>158807</v>
      </c>
      <c r="N6" s="32">
        <f>+SUM(K6:M6)/3</f>
        <v>158807</v>
      </c>
      <c r="O6" s="1">
        <v>158807</v>
      </c>
      <c r="P6" s="1">
        <v>158807</v>
      </c>
      <c r="Q6" s="1">
        <v>158807</v>
      </c>
      <c r="R6" s="32">
        <f>+SUM(O6:Q6)/3</f>
        <v>158807</v>
      </c>
      <c r="S6" s="1">
        <v>158807</v>
      </c>
      <c r="T6" s="1">
        <v>158807</v>
      </c>
      <c r="U6" s="1">
        <v>158807</v>
      </c>
      <c r="V6" s="32">
        <f>+SUM(S6:U6)/3</f>
        <v>158807</v>
      </c>
      <c r="W6" s="1">
        <v>158807</v>
      </c>
      <c r="X6" s="1">
        <v>158807</v>
      </c>
      <c r="Y6" s="1">
        <v>158807</v>
      </c>
      <c r="Z6" s="32">
        <f>+SUM(W6:Y6)/3</f>
        <v>158807</v>
      </c>
      <c r="AA6" s="1"/>
      <c r="AB6" s="1"/>
      <c r="AC6" s="1"/>
      <c r="AD6" s="1"/>
      <c r="AE6" s="1"/>
      <c r="AF6" s="1"/>
    </row>
    <row r="7" spans="1:32" ht="12.75">
      <c r="A7" s="1"/>
      <c r="B7" s="1" t="s">
        <v>35</v>
      </c>
      <c r="C7" s="1">
        <f aca="true" t="shared" si="0" ref="C7:Z7">+C5+C6</f>
        <v>71130</v>
      </c>
      <c r="D7" s="1">
        <f t="shared" si="0"/>
        <v>70786</v>
      </c>
      <c r="E7" s="1">
        <f t="shared" si="0"/>
        <v>99010</v>
      </c>
      <c r="F7" s="32">
        <f t="shared" si="0"/>
        <v>80308.66666666667</v>
      </c>
      <c r="G7" s="1">
        <f t="shared" si="0"/>
        <v>322163</v>
      </c>
      <c r="H7" s="1">
        <f t="shared" si="0"/>
        <v>322163</v>
      </c>
      <c r="I7" s="1">
        <f t="shared" si="0"/>
        <v>322163</v>
      </c>
      <c r="J7" s="32">
        <f t="shared" si="0"/>
        <v>322163</v>
      </c>
      <c r="K7" s="1">
        <f t="shared" si="0"/>
        <v>322163</v>
      </c>
      <c r="L7" s="1">
        <f t="shared" si="0"/>
        <v>322163</v>
      </c>
      <c r="M7" s="1">
        <f t="shared" si="0"/>
        <v>322163</v>
      </c>
      <c r="N7" s="32">
        <f t="shared" si="0"/>
        <v>322163</v>
      </c>
      <c r="O7" s="1">
        <f t="shared" si="0"/>
        <v>322163</v>
      </c>
      <c r="P7" s="1">
        <f t="shared" si="0"/>
        <v>322163</v>
      </c>
      <c r="Q7" s="1">
        <f t="shared" si="0"/>
        <v>322163</v>
      </c>
      <c r="R7" s="32">
        <f t="shared" si="0"/>
        <v>322163</v>
      </c>
      <c r="S7" s="1">
        <f t="shared" si="0"/>
        <v>322163</v>
      </c>
      <c r="T7" s="1">
        <f t="shared" si="0"/>
        <v>322163</v>
      </c>
      <c r="U7" s="1">
        <f t="shared" si="0"/>
        <v>322163</v>
      </c>
      <c r="V7" s="32">
        <f t="shared" si="0"/>
        <v>322163</v>
      </c>
      <c r="W7" s="1">
        <f t="shared" si="0"/>
        <v>322163</v>
      </c>
      <c r="X7" s="1">
        <f t="shared" si="0"/>
        <v>322163</v>
      </c>
      <c r="Y7" s="1">
        <f t="shared" si="0"/>
        <v>322163</v>
      </c>
      <c r="Z7" s="32">
        <f t="shared" si="0"/>
        <v>322163</v>
      </c>
      <c r="AA7" s="1"/>
      <c r="AB7" s="1"/>
      <c r="AC7" s="1"/>
      <c r="AD7" s="1"/>
      <c r="AE7" s="1"/>
      <c r="AF7" s="1"/>
    </row>
    <row r="8" spans="1:3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2.75">
      <c r="A9" s="1" t="s">
        <v>19</v>
      </c>
      <c r="B9" s="1" t="s">
        <v>134</v>
      </c>
      <c r="C9" s="1">
        <v>227559</v>
      </c>
      <c r="D9" s="1">
        <v>182026</v>
      </c>
      <c r="E9" s="1">
        <v>162918</v>
      </c>
      <c r="F9" s="32">
        <f>+SUM(C9:E9)/3</f>
        <v>190834.33333333334</v>
      </c>
      <c r="G9" s="1">
        <v>213118</v>
      </c>
      <c r="H9" s="1">
        <v>213118</v>
      </c>
      <c r="I9" s="1">
        <v>213118</v>
      </c>
      <c r="J9" s="32">
        <f>+SUM(G9:I9)/3</f>
        <v>213118</v>
      </c>
      <c r="K9" s="1">
        <v>213118</v>
      </c>
      <c r="L9" s="1">
        <v>213118</v>
      </c>
      <c r="M9" s="1">
        <v>213118</v>
      </c>
      <c r="N9" s="32">
        <f>+SUM(K9:M9)/3</f>
        <v>213118</v>
      </c>
      <c r="O9" s="1">
        <v>213118</v>
      </c>
      <c r="P9" s="1">
        <v>213118</v>
      </c>
      <c r="Q9" s="1">
        <v>213118</v>
      </c>
      <c r="R9" s="32">
        <f>+SUM(O9:Q9)/3</f>
        <v>213118</v>
      </c>
      <c r="S9" s="1">
        <v>213118</v>
      </c>
      <c r="T9" s="1">
        <v>213118</v>
      </c>
      <c r="U9" s="1">
        <v>213118</v>
      </c>
      <c r="V9" s="32">
        <f>+SUM(S9:U9)/3</f>
        <v>213118</v>
      </c>
      <c r="W9" s="1">
        <v>213118</v>
      </c>
      <c r="X9" s="1">
        <v>213118</v>
      </c>
      <c r="Y9" s="1">
        <v>213118</v>
      </c>
      <c r="Z9" s="32">
        <f>+SUM(W9:Y9)/3</f>
        <v>213118</v>
      </c>
      <c r="AA9" s="1"/>
      <c r="AB9" s="1"/>
      <c r="AC9" s="1"/>
      <c r="AD9" s="1"/>
      <c r="AE9" s="1"/>
      <c r="AF9" s="1"/>
    </row>
    <row r="10" spans="1:32" ht="12.75">
      <c r="A10" s="1"/>
      <c r="B10" s="1" t="s">
        <v>135</v>
      </c>
      <c r="C10" s="1"/>
      <c r="D10" s="1"/>
      <c r="E10" s="1"/>
      <c r="F10" s="32">
        <f>+SUM(C10:E10)/3</f>
        <v>0</v>
      </c>
      <c r="G10" s="1">
        <v>210665</v>
      </c>
      <c r="H10" s="1">
        <v>210665</v>
      </c>
      <c r="I10" s="1">
        <v>210665</v>
      </c>
      <c r="J10" s="32">
        <f>+SUM(G10:I10)/3</f>
        <v>210665</v>
      </c>
      <c r="K10" s="1">
        <v>210665</v>
      </c>
      <c r="L10" s="1">
        <v>210665</v>
      </c>
      <c r="M10" s="1">
        <v>210665</v>
      </c>
      <c r="N10" s="32">
        <f>+SUM(K10:M10)/3</f>
        <v>210665</v>
      </c>
      <c r="O10" s="1">
        <v>210665</v>
      </c>
      <c r="P10" s="1">
        <v>210665</v>
      </c>
      <c r="Q10" s="1">
        <v>210665</v>
      </c>
      <c r="R10" s="32">
        <f>+SUM(O10:Q10)/3</f>
        <v>210665</v>
      </c>
      <c r="S10" s="1">
        <v>210665</v>
      </c>
      <c r="T10" s="1">
        <v>210665</v>
      </c>
      <c r="U10" s="1">
        <v>210665</v>
      </c>
      <c r="V10" s="32">
        <f>+SUM(S10:U10)/3</f>
        <v>210665</v>
      </c>
      <c r="W10" s="1">
        <v>210665</v>
      </c>
      <c r="X10" s="1">
        <v>210665</v>
      </c>
      <c r="Y10" s="1">
        <v>210665</v>
      </c>
      <c r="Z10" s="32">
        <f>+SUM(W10:Y10)/3</f>
        <v>210665</v>
      </c>
      <c r="AA10" s="1"/>
      <c r="AB10" s="1"/>
      <c r="AC10" s="1"/>
      <c r="AD10" s="1"/>
      <c r="AE10" s="1"/>
      <c r="AF10" s="1"/>
    </row>
    <row r="11" spans="1:32" ht="12.75">
      <c r="A11" s="1"/>
      <c r="B11" s="1" t="s">
        <v>35</v>
      </c>
      <c r="C11" s="1">
        <f aca="true" t="shared" si="1" ref="C11:Z11">+C9+C10</f>
        <v>227559</v>
      </c>
      <c r="D11" s="1">
        <f t="shared" si="1"/>
        <v>182026</v>
      </c>
      <c r="E11" s="1">
        <f t="shared" si="1"/>
        <v>162918</v>
      </c>
      <c r="F11" s="32">
        <f t="shared" si="1"/>
        <v>190834.33333333334</v>
      </c>
      <c r="G11" s="1">
        <f t="shared" si="1"/>
        <v>423783</v>
      </c>
      <c r="H11" s="1">
        <f t="shared" si="1"/>
        <v>423783</v>
      </c>
      <c r="I11" s="1">
        <f t="shared" si="1"/>
        <v>423783</v>
      </c>
      <c r="J11" s="32">
        <f t="shared" si="1"/>
        <v>423783</v>
      </c>
      <c r="K11" s="1">
        <f t="shared" si="1"/>
        <v>423783</v>
      </c>
      <c r="L11" s="1">
        <f t="shared" si="1"/>
        <v>423783</v>
      </c>
      <c r="M11" s="1">
        <f t="shared" si="1"/>
        <v>423783</v>
      </c>
      <c r="N11" s="32">
        <f t="shared" si="1"/>
        <v>423783</v>
      </c>
      <c r="O11" s="1">
        <f t="shared" si="1"/>
        <v>423783</v>
      </c>
      <c r="P11" s="1">
        <f t="shared" si="1"/>
        <v>423783</v>
      </c>
      <c r="Q11" s="1">
        <f t="shared" si="1"/>
        <v>423783</v>
      </c>
      <c r="R11" s="32">
        <f t="shared" si="1"/>
        <v>423783</v>
      </c>
      <c r="S11" s="1">
        <f t="shared" si="1"/>
        <v>423783</v>
      </c>
      <c r="T11" s="1">
        <f t="shared" si="1"/>
        <v>423783</v>
      </c>
      <c r="U11" s="1">
        <f t="shared" si="1"/>
        <v>423783</v>
      </c>
      <c r="V11" s="32">
        <f t="shared" si="1"/>
        <v>423783</v>
      </c>
      <c r="W11" s="1">
        <f t="shared" si="1"/>
        <v>423783</v>
      </c>
      <c r="X11" s="1">
        <f t="shared" si="1"/>
        <v>423783</v>
      </c>
      <c r="Y11" s="1">
        <f t="shared" si="1"/>
        <v>423783</v>
      </c>
      <c r="Z11" s="32">
        <f t="shared" si="1"/>
        <v>423783</v>
      </c>
      <c r="AA11" s="1"/>
      <c r="AB11" s="1"/>
      <c r="AC11" s="1"/>
      <c r="AD11" s="1"/>
      <c r="AE11" s="1"/>
      <c r="AF11" s="1"/>
    </row>
    <row r="12" spans="1:3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2.75">
      <c r="A13" s="1" t="s">
        <v>20</v>
      </c>
      <c r="B13" s="1" t="s">
        <v>134</v>
      </c>
      <c r="C13" s="1">
        <v>219797</v>
      </c>
      <c r="D13" s="1">
        <v>223027</v>
      </c>
      <c r="E13" s="1">
        <v>230181</v>
      </c>
      <c r="F13" s="32">
        <f>+SUM(C13:E13)/3</f>
        <v>224335</v>
      </c>
      <c r="G13" s="1">
        <v>241138</v>
      </c>
      <c r="H13" s="1">
        <v>241138</v>
      </c>
      <c r="I13" s="1">
        <v>241138</v>
      </c>
      <c r="J13" s="32">
        <f>+SUM(G13:I13)/3</f>
        <v>241138</v>
      </c>
      <c r="K13" s="1">
        <v>241138</v>
      </c>
      <c r="L13" s="1">
        <v>241138</v>
      </c>
      <c r="M13" s="1">
        <v>241138</v>
      </c>
      <c r="N13" s="32">
        <f>+SUM(K13:M13)/3</f>
        <v>241138</v>
      </c>
      <c r="O13" s="1">
        <v>241138</v>
      </c>
      <c r="P13" s="1">
        <v>241138</v>
      </c>
      <c r="Q13" s="1">
        <v>241138</v>
      </c>
      <c r="R13" s="32">
        <f>+SUM(O13:Q13)/3</f>
        <v>241138</v>
      </c>
      <c r="S13" s="1">
        <v>241138</v>
      </c>
      <c r="T13" s="1">
        <v>241138</v>
      </c>
      <c r="U13" s="1">
        <v>241138</v>
      </c>
      <c r="V13" s="32">
        <f>+SUM(S13:U13)/3</f>
        <v>241138</v>
      </c>
      <c r="W13" s="1">
        <v>241138</v>
      </c>
      <c r="X13" s="1">
        <v>241138</v>
      </c>
      <c r="Y13" s="1">
        <v>241138</v>
      </c>
      <c r="Z13" s="32">
        <f>+SUM(W13:Y13)/3</f>
        <v>241138</v>
      </c>
      <c r="AA13" s="1"/>
      <c r="AB13" s="1"/>
      <c r="AC13" s="1"/>
      <c r="AD13" s="1"/>
      <c r="AE13" s="1"/>
      <c r="AF13" s="1"/>
    </row>
    <row r="14" spans="1:32" ht="12.75">
      <c r="A14" s="1"/>
      <c r="B14" s="1" t="s">
        <v>135</v>
      </c>
      <c r="C14" s="1"/>
      <c r="D14" s="1"/>
      <c r="E14" s="1"/>
      <c r="F14" s="32">
        <f>+SUM(C14:E14)/3</f>
        <v>0</v>
      </c>
      <c r="G14" s="1">
        <v>217438</v>
      </c>
      <c r="H14" s="1">
        <v>217438</v>
      </c>
      <c r="I14" s="1">
        <v>217438</v>
      </c>
      <c r="J14" s="32">
        <f>+SUM(G14:I14)/3</f>
        <v>217438</v>
      </c>
      <c r="K14" s="1">
        <v>217438</v>
      </c>
      <c r="L14" s="1">
        <v>217438</v>
      </c>
      <c r="M14" s="1">
        <v>217438</v>
      </c>
      <c r="N14" s="32">
        <f>+SUM(K14:M14)/3</f>
        <v>217438</v>
      </c>
      <c r="O14" s="1">
        <v>217438</v>
      </c>
      <c r="P14" s="1">
        <v>217438</v>
      </c>
      <c r="Q14" s="1">
        <v>217438</v>
      </c>
      <c r="R14" s="32">
        <f>+SUM(O14:Q14)/3</f>
        <v>217438</v>
      </c>
      <c r="S14" s="1">
        <v>217438</v>
      </c>
      <c r="T14" s="1">
        <v>217438</v>
      </c>
      <c r="U14" s="1">
        <v>217438</v>
      </c>
      <c r="V14" s="32">
        <f>+SUM(S14:U14)/3</f>
        <v>217438</v>
      </c>
      <c r="W14" s="1">
        <v>217438</v>
      </c>
      <c r="X14" s="1">
        <v>217438</v>
      </c>
      <c r="Y14" s="1">
        <v>217438</v>
      </c>
      <c r="Z14" s="32">
        <f>+SUM(W14:Y14)/3</f>
        <v>217438</v>
      </c>
      <c r="AA14" s="1"/>
      <c r="AB14" s="1"/>
      <c r="AC14" s="1"/>
      <c r="AD14" s="1"/>
      <c r="AE14" s="1"/>
      <c r="AF14" s="1"/>
    </row>
    <row r="15" spans="1:32" ht="12.75">
      <c r="A15" s="1"/>
      <c r="B15" s="1" t="s">
        <v>35</v>
      </c>
      <c r="C15" s="1">
        <f aca="true" t="shared" si="2" ref="C15:Z15">+C13+C14</f>
        <v>219797</v>
      </c>
      <c r="D15" s="1">
        <f t="shared" si="2"/>
        <v>223027</v>
      </c>
      <c r="E15" s="1">
        <f t="shared" si="2"/>
        <v>230181</v>
      </c>
      <c r="F15" s="32">
        <f t="shared" si="2"/>
        <v>224335</v>
      </c>
      <c r="G15" s="1">
        <f t="shared" si="2"/>
        <v>458576</v>
      </c>
      <c r="H15" s="1">
        <f t="shared" si="2"/>
        <v>458576</v>
      </c>
      <c r="I15" s="1">
        <f t="shared" si="2"/>
        <v>458576</v>
      </c>
      <c r="J15" s="32">
        <f t="shared" si="2"/>
        <v>458576</v>
      </c>
      <c r="K15" s="1">
        <f t="shared" si="2"/>
        <v>458576</v>
      </c>
      <c r="L15" s="1">
        <f t="shared" si="2"/>
        <v>458576</v>
      </c>
      <c r="M15" s="1">
        <f t="shared" si="2"/>
        <v>458576</v>
      </c>
      <c r="N15" s="32">
        <f t="shared" si="2"/>
        <v>458576</v>
      </c>
      <c r="O15" s="1">
        <f t="shared" si="2"/>
        <v>458576</v>
      </c>
      <c r="P15" s="1">
        <f t="shared" si="2"/>
        <v>458576</v>
      </c>
      <c r="Q15" s="1">
        <f t="shared" si="2"/>
        <v>458576</v>
      </c>
      <c r="R15" s="32">
        <f t="shared" si="2"/>
        <v>458576</v>
      </c>
      <c r="S15" s="1">
        <f t="shared" si="2"/>
        <v>458576</v>
      </c>
      <c r="T15" s="1">
        <f t="shared" si="2"/>
        <v>458576</v>
      </c>
      <c r="U15" s="1">
        <f t="shared" si="2"/>
        <v>458576</v>
      </c>
      <c r="V15" s="32">
        <f t="shared" si="2"/>
        <v>458576</v>
      </c>
      <c r="W15" s="1">
        <f t="shared" si="2"/>
        <v>458576</v>
      </c>
      <c r="X15" s="1">
        <f t="shared" si="2"/>
        <v>458576</v>
      </c>
      <c r="Y15" s="1">
        <f t="shared" si="2"/>
        <v>458576</v>
      </c>
      <c r="Z15" s="32">
        <f t="shared" si="2"/>
        <v>458576</v>
      </c>
      <c r="AA15" s="1"/>
      <c r="AB15" s="1"/>
      <c r="AC15" s="1"/>
      <c r="AD15" s="1"/>
      <c r="AE15" s="1"/>
      <c r="AF15" s="1"/>
    </row>
    <row r="16" spans="1:3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2.75">
      <c r="A17" s="1" t="s">
        <v>21</v>
      </c>
      <c r="B17" s="1" t="s">
        <v>134</v>
      </c>
      <c r="C17" s="1">
        <v>158597</v>
      </c>
      <c r="D17" s="1">
        <v>173781</v>
      </c>
      <c r="E17" s="1">
        <v>158289</v>
      </c>
      <c r="F17" s="32">
        <f>+SUM(C17:E17)/3</f>
        <v>163555.66666666666</v>
      </c>
      <c r="G17" s="1">
        <v>216657</v>
      </c>
      <c r="H17" s="1">
        <v>216657</v>
      </c>
      <c r="I17" s="1">
        <v>216657</v>
      </c>
      <c r="J17" s="32">
        <f>+SUM(G17:I17)/3</f>
        <v>216657</v>
      </c>
      <c r="K17" s="1">
        <v>216657</v>
      </c>
      <c r="L17" s="1">
        <v>216657</v>
      </c>
      <c r="M17" s="1">
        <v>216657</v>
      </c>
      <c r="N17" s="32">
        <f>+SUM(K17:M17)/3</f>
        <v>216657</v>
      </c>
      <c r="O17" s="1">
        <v>216657</v>
      </c>
      <c r="P17" s="1">
        <v>216657</v>
      </c>
      <c r="Q17" s="1">
        <v>216657</v>
      </c>
      <c r="R17" s="32">
        <f>+SUM(O17:Q17)/3</f>
        <v>216657</v>
      </c>
      <c r="S17" s="1">
        <v>216657</v>
      </c>
      <c r="T17" s="1">
        <v>216657</v>
      </c>
      <c r="U17" s="1">
        <v>216657</v>
      </c>
      <c r="V17" s="32">
        <f>+SUM(S17:U17)/3</f>
        <v>216657</v>
      </c>
      <c r="W17" s="1">
        <v>216657</v>
      </c>
      <c r="X17" s="1">
        <v>216657</v>
      </c>
      <c r="Y17" s="1">
        <v>216657</v>
      </c>
      <c r="Z17" s="32">
        <f>+SUM(W17:Y17)/3</f>
        <v>216657</v>
      </c>
      <c r="AA17" s="1"/>
      <c r="AB17" s="1"/>
      <c r="AC17" s="1"/>
      <c r="AD17" s="1"/>
      <c r="AE17" s="1"/>
      <c r="AF17" s="1"/>
    </row>
    <row r="18" spans="1:32" ht="12.75">
      <c r="A18" s="1"/>
      <c r="B18" s="1" t="s">
        <v>135</v>
      </c>
      <c r="C18" s="1"/>
      <c r="D18" s="1"/>
      <c r="E18" s="1"/>
      <c r="F18" s="32">
        <f>+SUM(C18:E18)/3</f>
        <v>0</v>
      </c>
      <c r="G18" s="1">
        <v>21043</v>
      </c>
      <c r="H18" s="1">
        <v>21043</v>
      </c>
      <c r="I18" s="1">
        <v>21043</v>
      </c>
      <c r="J18" s="32">
        <f>+SUM(G18:I18)/3</f>
        <v>21043</v>
      </c>
      <c r="K18" s="1">
        <v>21043</v>
      </c>
      <c r="L18" s="1">
        <v>21043</v>
      </c>
      <c r="M18" s="1">
        <v>21043</v>
      </c>
      <c r="N18" s="32">
        <f>+SUM(K18:M18)/3</f>
        <v>21043</v>
      </c>
      <c r="O18" s="1">
        <v>21043</v>
      </c>
      <c r="P18" s="1">
        <v>21043</v>
      </c>
      <c r="Q18" s="1">
        <v>21043</v>
      </c>
      <c r="R18" s="32">
        <f>+SUM(O18:Q18)/3</f>
        <v>21043</v>
      </c>
      <c r="S18" s="1">
        <v>21043</v>
      </c>
      <c r="T18" s="1">
        <v>21043</v>
      </c>
      <c r="U18" s="1">
        <v>21043</v>
      </c>
      <c r="V18" s="32">
        <f>+SUM(S18:U18)/3</f>
        <v>21043</v>
      </c>
      <c r="W18" s="1">
        <v>21043</v>
      </c>
      <c r="X18" s="1">
        <v>21043</v>
      </c>
      <c r="Y18" s="1">
        <v>21043</v>
      </c>
      <c r="Z18" s="32">
        <f>+SUM(W18:Y18)/3</f>
        <v>21043</v>
      </c>
      <c r="AA18" s="1"/>
      <c r="AB18" s="1"/>
      <c r="AC18" s="1"/>
      <c r="AD18" s="1"/>
      <c r="AE18" s="1"/>
      <c r="AF18" s="1"/>
    </row>
    <row r="19" spans="1:32" ht="12.75">
      <c r="A19" s="1"/>
      <c r="B19" s="1" t="s">
        <v>35</v>
      </c>
      <c r="C19" s="1">
        <f aca="true" t="shared" si="3" ref="C19:Z19">+C17+C18</f>
        <v>158597</v>
      </c>
      <c r="D19" s="1">
        <f t="shared" si="3"/>
        <v>173781</v>
      </c>
      <c r="E19" s="1">
        <f t="shared" si="3"/>
        <v>158289</v>
      </c>
      <c r="F19" s="32">
        <f t="shared" si="3"/>
        <v>163555.66666666666</v>
      </c>
      <c r="G19" s="1">
        <f t="shared" si="3"/>
        <v>237700</v>
      </c>
      <c r="H19" s="1">
        <f t="shared" si="3"/>
        <v>237700</v>
      </c>
      <c r="I19" s="1">
        <f t="shared" si="3"/>
        <v>237700</v>
      </c>
      <c r="J19" s="32">
        <f t="shared" si="3"/>
        <v>237700</v>
      </c>
      <c r="K19" s="1">
        <f t="shared" si="3"/>
        <v>237700</v>
      </c>
      <c r="L19" s="1">
        <f t="shared" si="3"/>
        <v>237700</v>
      </c>
      <c r="M19" s="1">
        <f t="shared" si="3"/>
        <v>237700</v>
      </c>
      <c r="N19" s="32">
        <f t="shared" si="3"/>
        <v>237700</v>
      </c>
      <c r="O19" s="1">
        <f t="shared" si="3"/>
        <v>237700</v>
      </c>
      <c r="P19" s="1">
        <f t="shared" si="3"/>
        <v>237700</v>
      </c>
      <c r="Q19" s="1">
        <f t="shared" si="3"/>
        <v>237700</v>
      </c>
      <c r="R19" s="32">
        <f t="shared" si="3"/>
        <v>237700</v>
      </c>
      <c r="S19" s="1">
        <f t="shared" si="3"/>
        <v>237700</v>
      </c>
      <c r="T19" s="1">
        <f t="shared" si="3"/>
        <v>237700</v>
      </c>
      <c r="U19" s="1">
        <f t="shared" si="3"/>
        <v>237700</v>
      </c>
      <c r="V19" s="32">
        <f t="shared" si="3"/>
        <v>237700</v>
      </c>
      <c r="W19" s="1">
        <f t="shared" si="3"/>
        <v>237700</v>
      </c>
      <c r="X19" s="1">
        <f t="shared" si="3"/>
        <v>237700</v>
      </c>
      <c r="Y19" s="1">
        <f t="shared" si="3"/>
        <v>237700</v>
      </c>
      <c r="Z19" s="32">
        <f t="shared" si="3"/>
        <v>237700</v>
      </c>
      <c r="AA19" s="1"/>
      <c r="AB19" s="1"/>
      <c r="AC19" s="1"/>
      <c r="AD19" s="1"/>
      <c r="AE19" s="1"/>
      <c r="AF19" s="1"/>
    </row>
    <row r="20" spans="1:3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2.75">
      <c r="A21" s="1" t="s">
        <v>22</v>
      </c>
      <c r="B21" s="1" t="s">
        <v>134</v>
      </c>
      <c r="C21" s="1">
        <v>68150</v>
      </c>
      <c r="D21" s="1">
        <v>59845</v>
      </c>
      <c r="E21" s="1">
        <v>50944</v>
      </c>
      <c r="F21" s="32">
        <f>+SUM(C21:E21)/3</f>
        <v>59646.333333333336</v>
      </c>
      <c r="G21" s="1">
        <v>57402</v>
      </c>
      <c r="H21" s="1">
        <v>57402</v>
      </c>
      <c r="I21" s="1">
        <v>57402</v>
      </c>
      <c r="J21" s="32">
        <f>+SUM(G21:I21)/3</f>
        <v>57402</v>
      </c>
      <c r="K21" s="1">
        <v>57402</v>
      </c>
      <c r="L21" s="1">
        <v>57402</v>
      </c>
      <c r="M21" s="1">
        <v>57402</v>
      </c>
      <c r="N21" s="32">
        <f>+SUM(K21:M21)/3</f>
        <v>57402</v>
      </c>
      <c r="O21" s="1">
        <v>57402</v>
      </c>
      <c r="P21" s="1">
        <v>57402</v>
      </c>
      <c r="Q21" s="1">
        <v>57402</v>
      </c>
      <c r="R21" s="32">
        <f>+SUM(O21:Q21)/3</f>
        <v>57402</v>
      </c>
      <c r="S21" s="1">
        <v>57402</v>
      </c>
      <c r="T21" s="1">
        <v>57402</v>
      </c>
      <c r="U21" s="1">
        <v>57402</v>
      </c>
      <c r="V21" s="32">
        <f>+SUM(S21:U21)/3</f>
        <v>57402</v>
      </c>
      <c r="W21" s="1">
        <v>57402</v>
      </c>
      <c r="X21" s="1">
        <v>57402</v>
      </c>
      <c r="Y21" s="1">
        <v>57402</v>
      </c>
      <c r="Z21" s="32">
        <f>+SUM(W21:Y21)/3</f>
        <v>57402</v>
      </c>
      <c r="AA21" s="1"/>
      <c r="AB21" s="1"/>
      <c r="AC21" s="1"/>
      <c r="AD21" s="1"/>
      <c r="AE21" s="1"/>
      <c r="AF21" s="1"/>
    </row>
    <row r="22" spans="1:32" ht="12.75">
      <c r="A22" s="1"/>
      <c r="B22" s="1" t="s">
        <v>135</v>
      </c>
      <c r="C22" s="1"/>
      <c r="D22" s="1"/>
      <c r="E22" s="1"/>
      <c r="F22" s="32">
        <f>+SUM(C22:E22)/3</f>
        <v>0</v>
      </c>
      <c r="G22" s="1">
        <v>35500</v>
      </c>
      <c r="H22" s="1">
        <v>35500</v>
      </c>
      <c r="I22" s="1">
        <v>35500</v>
      </c>
      <c r="J22" s="32">
        <f>+SUM(G22:I22)/3</f>
        <v>35500</v>
      </c>
      <c r="K22" s="1">
        <v>35500</v>
      </c>
      <c r="L22" s="1">
        <v>35500</v>
      </c>
      <c r="M22" s="1">
        <v>35500</v>
      </c>
      <c r="N22" s="32">
        <f>+SUM(K22:M22)/3</f>
        <v>35500</v>
      </c>
      <c r="O22" s="1">
        <v>35500</v>
      </c>
      <c r="P22" s="1">
        <v>35500</v>
      </c>
      <c r="Q22" s="1">
        <v>35500</v>
      </c>
      <c r="R22" s="32">
        <f>+SUM(O22:Q22)/3</f>
        <v>35500</v>
      </c>
      <c r="S22" s="1">
        <v>35500</v>
      </c>
      <c r="T22" s="1">
        <v>35500</v>
      </c>
      <c r="U22" s="1">
        <v>35500</v>
      </c>
      <c r="V22" s="32">
        <f>+SUM(S22:U22)/3</f>
        <v>35500</v>
      </c>
      <c r="W22" s="1">
        <v>35500</v>
      </c>
      <c r="X22" s="1">
        <v>35500</v>
      </c>
      <c r="Y22" s="1">
        <v>35500</v>
      </c>
      <c r="Z22" s="32">
        <f>+SUM(W22:Y22)/3</f>
        <v>35500</v>
      </c>
      <c r="AA22" s="1"/>
      <c r="AB22" s="1"/>
      <c r="AC22" s="1"/>
      <c r="AD22" s="1"/>
      <c r="AE22" s="1"/>
      <c r="AF22" s="1"/>
    </row>
    <row r="23" spans="1:32" ht="12.75">
      <c r="A23" s="1"/>
      <c r="B23" s="1" t="s">
        <v>35</v>
      </c>
      <c r="C23" s="1">
        <f aca="true" t="shared" si="4" ref="C23:Z23">+C21+C22</f>
        <v>68150</v>
      </c>
      <c r="D23" s="1">
        <f t="shared" si="4"/>
        <v>59845</v>
      </c>
      <c r="E23" s="1">
        <f t="shared" si="4"/>
        <v>50944</v>
      </c>
      <c r="F23" s="32">
        <f t="shared" si="4"/>
        <v>59646.333333333336</v>
      </c>
      <c r="G23" s="1">
        <f t="shared" si="4"/>
        <v>92902</v>
      </c>
      <c r="H23" s="1">
        <f t="shared" si="4"/>
        <v>92902</v>
      </c>
      <c r="I23" s="1">
        <f t="shared" si="4"/>
        <v>92902</v>
      </c>
      <c r="J23" s="32">
        <f t="shared" si="4"/>
        <v>92902</v>
      </c>
      <c r="K23" s="1">
        <f t="shared" si="4"/>
        <v>92902</v>
      </c>
      <c r="L23" s="1">
        <f t="shared" si="4"/>
        <v>92902</v>
      </c>
      <c r="M23" s="1">
        <f t="shared" si="4"/>
        <v>92902</v>
      </c>
      <c r="N23" s="32">
        <f t="shared" si="4"/>
        <v>92902</v>
      </c>
      <c r="O23" s="1">
        <f t="shared" si="4"/>
        <v>92902</v>
      </c>
      <c r="P23" s="1">
        <f t="shared" si="4"/>
        <v>92902</v>
      </c>
      <c r="Q23" s="1">
        <f t="shared" si="4"/>
        <v>92902</v>
      </c>
      <c r="R23" s="32">
        <f t="shared" si="4"/>
        <v>92902</v>
      </c>
      <c r="S23" s="1">
        <f t="shared" si="4"/>
        <v>92902</v>
      </c>
      <c r="T23" s="1">
        <f t="shared" si="4"/>
        <v>92902</v>
      </c>
      <c r="U23" s="1">
        <f t="shared" si="4"/>
        <v>92902</v>
      </c>
      <c r="V23" s="32">
        <f t="shared" si="4"/>
        <v>92902</v>
      </c>
      <c r="W23" s="1">
        <f t="shared" si="4"/>
        <v>92902</v>
      </c>
      <c r="X23" s="1">
        <f t="shared" si="4"/>
        <v>92902</v>
      </c>
      <c r="Y23" s="1">
        <f t="shared" si="4"/>
        <v>92902</v>
      </c>
      <c r="Z23" s="32">
        <f t="shared" si="4"/>
        <v>92902</v>
      </c>
      <c r="AA23" s="1"/>
      <c r="AB23" s="1"/>
      <c r="AC23" s="1"/>
      <c r="AD23" s="1"/>
      <c r="AE23" s="1"/>
      <c r="AF23" s="1"/>
    </row>
    <row r="24" spans="1:3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2.75">
      <c r="A25" s="1" t="s">
        <v>23</v>
      </c>
      <c r="B25" s="1" t="s">
        <v>134</v>
      </c>
      <c r="C25" s="1">
        <v>193318</v>
      </c>
      <c r="D25" s="1">
        <v>194474</v>
      </c>
      <c r="E25" s="1">
        <v>208361</v>
      </c>
      <c r="F25" s="32">
        <f>+SUM(C25:E25)/3</f>
        <v>198717.66666666666</v>
      </c>
      <c r="G25" s="1">
        <v>238893</v>
      </c>
      <c r="H25" s="1">
        <v>238893</v>
      </c>
      <c r="I25" s="1">
        <v>238893</v>
      </c>
      <c r="J25" s="32">
        <f>+SUM(G25:I25)/3</f>
        <v>238893</v>
      </c>
      <c r="K25" s="1">
        <v>238893</v>
      </c>
      <c r="L25" s="1">
        <v>238893</v>
      </c>
      <c r="M25" s="1">
        <v>238893</v>
      </c>
      <c r="N25" s="32">
        <f>+SUM(K25:M25)/3</f>
        <v>238893</v>
      </c>
      <c r="O25" s="1">
        <v>238893</v>
      </c>
      <c r="P25" s="1">
        <v>238893</v>
      </c>
      <c r="Q25" s="1">
        <v>238893</v>
      </c>
      <c r="R25" s="32">
        <f>+SUM(O25:Q25)/3</f>
        <v>238893</v>
      </c>
      <c r="S25" s="1">
        <v>238893</v>
      </c>
      <c r="T25" s="1">
        <v>238893</v>
      </c>
      <c r="U25" s="1">
        <v>238893</v>
      </c>
      <c r="V25" s="32">
        <f>+SUM(S25:U25)/3</f>
        <v>238893</v>
      </c>
      <c r="W25" s="1">
        <v>238893</v>
      </c>
      <c r="X25" s="1">
        <v>238893</v>
      </c>
      <c r="Y25" s="1">
        <v>238893</v>
      </c>
      <c r="Z25" s="32">
        <f>+SUM(W25:Y25)/3</f>
        <v>238893</v>
      </c>
      <c r="AA25" s="1"/>
      <c r="AB25" s="1"/>
      <c r="AC25" s="1"/>
      <c r="AD25" s="1"/>
      <c r="AE25" s="1"/>
      <c r="AF25" s="1"/>
    </row>
    <row r="26" spans="1:32" ht="12.75">
      <c r="A26" s="1"/>
      <c r="B26" s="1" t="s">
        <v>135</v>
      </c>
      <c r="C26" s="1"/>
      <c r="D26" s="1"/>
      <c r="E26" s="1"/>
      <c r="F26" s="32">
        <f>+SUM(C26:E26)/3</f>
        <v>0</v>
      </c>
      <c r="G26" s="1">
        <v>109263</v>
      </c>
      <c r="H26" s="1">
        <v>109263</v>
      </c>
      <c r="I26" s="1">
        <v>109263</v>
      </c>
      <c r="J26" s="32">
        <f>+SUM(G26:I26)/3</f>
        <v>109263</v>
      </c>
      <c r="K26" s="1">
        <v>109263</v>
      </c>
      <c r="L26" s="1">
        <v>109263</v>
      </c>
      <c r="M26" s="1">
        <v>109263</v>
      </c>
      <c r="N26" s="32">
        <f>+SUM(K26:M26)/3</f>
        <v>109263</v>
      </c>
      <c r="O26" s="1">
        <v>109263</v>
      </c>
      <c r="P26" s="1">
        <v>109263</v>
      </c>
      <c r="Q26" s="1">
        <v>109263</v>
      </c>
      <c r="R26" s="32">
        <f>+SUM(O26:Q26)/3</f>
        <v>109263</v>
      </c>
      <c r="S26" s="1">
        <v>109263</v>
      </c>
      <c r="T26" s="1">
        <v>109263</v>
      </c>
      <c r="U26" s="1">
        <v>109263</v>
      </c>
      <c r="V26" s="32">
        <f>+SUM(S26:U26)/3</f>
        <v>109263</v>
      </c>
      <c r="W26" s="1">
        <v>109263</v>
      </c>
      <c r="X26" s="1">
        <v>109263</v>
      </c>
      <c r="Y26" s="1">
        <v>109263</v>
      </c>
      <c r="Z26" s="32">
        <f>+SUM(W26:Y26)/3</f>
        <v>109263</v>
      </c>
      <c r="AA26" s="1"/>
      <c r="AB26" s="1"/>
      <c r="AC26" s="1"/>
      <c r="AD26" s="1"/>
      <c r="AE26" s="1"/>
      <c r="AF26" s="1"/>
    </row>
    <row r="27" spans="1:32" ht="12.75">
      <c r="A27" s="1"/>
      <c r="B27" s="1" t="s">
        <v>35</v>
      </c>
      <c r="C27" s="1">
        <f aca="true" t="shared" si="5" ref="C27:Z27">+C25+C26</f>
        <v>193318</v>
      </c>
      <c r="D27" s="1">
        <f t="shared" si="5"/>
        <v>194474</v>
      </c>
      <c r="E27" s="1">
        <f t="shared" si="5"/>
        <v>208361</v>
      </c>
      <c r="F27" s="32">
        <f t="shared" si="5"/>
        <v>198717.66666666666</v>
      </c>
      <c r="G27" s="1">
        <f t="shared" si="5"/>
        <v>348156</v>
      </c>
      <c r="H27" s="1">
        <f t="shared" si="5"/>
        <v>348156</v>
      </c>
      <c r="I27" s="1">
        <f t="shared" si="5"/>
        <v>348156</v>
      </c>
      <c r="J27" s="32">
        <f t="shared" si="5"/>
        <v>348156</v>
      </c>
      <c r="K27" s="1">
        <f t="shared" si="5"/>
        <v>348156</v>
      </c>
      <c r="L27" s="1">
        <f t="shared" si="5"/>
        <v>348156</v>
      </c>
      <c r="M27" s="1">
        <f t="shared" si="5"/>
        <v>348156</v>
      </c>
      <c r="N27" s="32">
        <f t="shared" si="5"/>
        <v>348156</v>
      </c>
      <c r="O27" s="1">
        <f t="shared" si="5"/>
        <v>348156</v>
      </c>
      <c r="P27" s="1">
        <f t="shared" si="5"/>
        <v>348156</v>
      </c>
      <c r="Q27" s="1">
        <f t="shared" si="5"/>
        <v>348156</v>
      </c>
      <c r="R27" s="32">
        <f t="shared" si="5"/>
        <v>348156</v>
      </c>
      <c r="S27" s="1">
        <f t="shared" si="5"/>
        <v>348156</v>
      </c>
      <c r="T27" s="1">
        <f t="shared" si="5"/>
        <v>348156</v>
      </c>
      <c r="U27" s="1">
        <f t="shared" si="5"/>
        <v>348156</v>
      </c>
      <c r="V27" s="32">
        <f t="shared" si="5"/>
        <v>348156</v>
      </c>
      <c r="W27" s="1">
        <f t="shared" si="5"/>
        <v>348156</v>
      </c>
      <c r="X27" s="1">
        <f t="shared" si="5"/>
        <v>348156</v>
      </c>
      <c r="Y27" s="1">
        <f t="shared" si="5"/>
        <v>348156</v>
      </c>
      <c r="Z27" s="32">
        <f t="shared" si="5"/>
        <v>348156</v>
      </c>
      <c r="AA27" s="1"/>
      <c r="AB27" s="1"/>
      <c r="AC27" s="1"/>
      <c r="AD27" s="1"/>
      <c r="AE27" s="1"/>
      <c r="AF27" s="1"/>
    </row>
    <row r="28" spans="1:3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2.75">
      <c r="A29" s="1" t="s">
        <v>35</v>
      </c>
      <c r="B29" s="1" t="s">
        <v>134</v>
      </c>
      <c r="C29" s="1">
        <f>+C25+C21+C17+C13+C9+C5</f>
        <v>938551</v>
      </c>
      <c r="D29" s="1">
        <f aca="true" t="shared" si="6" ref="D29:Y29">+D25+D21+D17+D13+D9+D5</f>
        <v>903939</v>
      </c>
      <c r="E29" s="1">
        <f t="shared" si="6"/>
        <v>909703</v>
      </c>
      <c r="F29" s="32">
        <f t="shared" si="6"/>
        <v>917397.6666666666</v>
      </c>
      <c r="G29" s="32">
        <f t="shared" si="6"/>
        <v>1130564</v>
      </c>
      <c r="H29" s="1">
        <f t="shared" si="6"/>
        <v>1130564</v>
      </c>
      <c r="I29" s="1">
        <f t="shared" si="6"/>
        <v>1130564</v>
      </c>
      <c r="J29" s="32">
        <f>+J25+J21+J17+J13+J9+J5</f>
        <v>1130564</v>
      </c>
      <c r="K29" s="1">
        <f t="shared" si="6"/>
        <v>1130564</v>
      </c>
      <c r="L29" s="1">
        <f t="shared" si="6"/>
        <v>1130564</v>
      </c>
      <c r="M29" s="1">
        <f t="shared" si="6"/>
        <v>1130564</v>
      </c>
      <c r="N29" s="32">
        <f>+N25+N21+N17+N13+N9+N5</f>
        <v>1130564</v>
      </c>
      <c r="O29" s="1">
        <f t="shared" si="6"/>
        <v>1130564</v>
      </c>
      <c r="P29" s="1">
        <f t="shared" si="6"/>
        <v>1130564</v>
      </c>
      <c r="Q29" s="1">
        <f t="shared" si="6"/>
        <v>1130564</v>
      </c>
      <c r="R29" s="32">
        <f>+R25+R21+R17+R13+R9+R5</f>
        <v>1130564</v>
      </c>
      <c r="S29" s="1">
        <f t="shared" si="6"/>
        <v>1130564</v>
      </c>
      <c r="T29" s="1">
        <f t="shared" si="6"/>
        <v>1130564</v>
      </c>
      <c r="U29" s="1">
        <f t="shared" si="6"/>
        <v>1130564</v>
      </c>
      <c r="V29" s="32">
        <f>+V25+V21+V17+V13+V9+V5</f>
        <v>1130564</v>
      </c>
      <c r="W29" s="1">
        <f t="shared" si="6"/>
        <v>1130564</v>
      </c>
      <c r="X29" s="1">
        <f t="shared" si="6"/>
        <v>1130564</v>
      </c>
      <c r="Y29" s="1">
        <f t="shared" si="6"/>
        <v>1130564</v>
      </c>
      <c r="Z29" s="32">
        <f>+Z25+Z21+Z17+Z13+Z9+Z5</f>
        <v>1130564</v>
      </c>
      <c r="AA29" s="1"/>
      <c r="AB29" s="1"/>
      <c r="AC29" s="1"/>
      <c r="AD29" s="1"/>
      <c r="AE29" s="1"/>
      <c r="AF29" s="1"/>
    </row>
    <row r="30" spans="1:32" ht="12.75">
      <c r="A30" s="1"/>
      <c r="B30" s="1" t="s">
        <v>135</v>
      </c>
      <c r="C30" s="1">
        <f aca="true" t="shared" si="7" ref="C30:Y30">+C26+C22+C18+C14+C10+C6</f>
        <v>0</v>
      </c>
      <c r="D30" s="1">
        <f t="shared" si="7"/>
        <v>0</v>
      </c>
      <c r="E30" s="1">
        <f t="shared" si="7"/>
        <v>0</v>
      </c>
      <c r="F30" s="32">
        <f t="shared" si="7"/>
        <v>0</v>
      </c>
      <c r="G30" s="1">
        <f t="shared" si="7"/>
        <v>752716</v>
      </c>
      <c r="H30" s="1">
        <f t="shared" si="7"/>
        <v>752716</v>
      </c>
      <c r="I30" s="1">
        <f t="shared" si="7"/>
        <v>752716</v>
      </c>
      <c r="J30" s="32">
        <f>+J26+J22+J18+J14+J10+J6</f>
        <v>752716</v>
      </c>
      <c r="K30" s="1">
        <f t="shared" si="7"/>
        <v>752716</v>
      </c>
      <c r="L30" s="1">
        <f t="shared" si="7"/>
        <v>752716</v>
      </c>
      <c r="M30" s="1">
        <f t="shared" si="7"/>
        <v>752716</v>
      </c>
      <c r="N30" s="32">
        <f>+N26+N22+N18+N14+N10+N6</f>
        <v>752716</v>
      </c>
      <c r="O30" s="1">
        <f t="shared" si="7"/>
        <v>752716</v>
      </c>
      <c r="P30" s="1">
        <f t="shared" si="7"/>
        <v>752716</v>
      </c>
      <c r="Q30" s="1">
        <f t="shared" si="7"/>
        <v>752716</v>
      </c>
      <c r="R30" s="32">
        <f>+R26+R22+R18+R14+R10+R6</f>
        <v>752716</v>
      </c>
      <c r="S30" s="1">
        <f t="shared" si="7"/>
        <v>752716</v>
      </c>
      <c r="T30" s="1">
        <f t="shared" si="7"/>
        <v>752716</v>
      </c>
      <c r="U30" s="1">
        <f t="shared" si="7"/>
        <v>752716</v>
      </c>
      <c r="V30" s="32">
        <f>+V26+V22+V18+V14+V10+V6</f>
        <v>752716</v>
      </c>
      <c r="W30" s="1">
        <f t="shared" si="7"/>
        <v>752716</v>
      </c>
      <c r="X30" s="1">
        <f t="shared" si="7"/>
        <v>752716</v>
      </c>
      <c r="Y30" s="1">
        <f t="shared" si="7"/>
        <v>752716</v>
      </c>
      <c r="Z30" s="32">
        <f>+Z26+Z22+Z18+Z14+Z10+Z6</f>
        <v>752716</v>
      </c>
      <c r="AA30" s="1"/>
      <c r="AB30" s="1"/>
      <c r="AC30" s="1"/>
      <c r="AD30" s="1"/>
      <c r="AE30" s="1"/>
      <c r="AF30" s="1"/>
    </row>
    <row r="31" spans="1:32" ht="12.75">
      <c r="A31" s="1"/>
      <c r="B31" s="1" t="s">
        <v>35</v>
      </c>
      <c r="C31" s="1">
        <f aca="true" t="shared" si="8" ref="C31:Z31">+C29+C30</f>
        <v>938551</v>
      </c>
      <c r="D31" s="1">
        <f t="shared" si="8"/>
        <v>903939</v>
      </c>
      <c r="E31" s="1">
        <f t="shared" si="8"/>
        <v>909703</v>
      </c>
      <c r="F31" s="32">
        <f t="shared" si="8"/>
        <v>917397.6666666666</v>
      </c>
      <c r="G31" s="1">
        <f t="shared" si="8"/>
        <v>1883280</v>
      </c>
      <c r="H31" s="1">
        <f t="shared" si="8"/>
        <v>1883280</v>
      </c>
      <c r="I31" s="1">
        <f t="shared" si="8"/>
        <v>1883280</v>
      </c>
      <c r="J31" s="32">
        <f t="shared" si="8"/>
        <v>1883280</v>
      </c>
      <c r="K31" s="1">
        <f t="shared" si="8"/>
        <v>1883280</v>
      </c>
      <c r="L31" s="1">
        <f t="shared" si="8"/>
        <v>1883280</v>
      </c>
      <c r="M31" s="1">
        <f t="shared" si="8"/>
        <v>1883280</v>
      </c>
      <c r="N31" s="32">
        <f t="shared" si="8"/>
        <v>1883280</v>
      </c>
      <c r="O31" s="1">
        <f t="shared" si="8"/>
        <v>1883280</v>
      </c>
      <c r="P31" s="1">
        <f t="shared" si="8"/>
        <v>1883280</v>
      </c>
      <c r="Q31" s="1">
        <f t="shared" si="8"/>
        <v>1883280</v>
      </c>
      <c r="R31" s="32">
        <f t="shared" si="8"/>
        <v>1883280</v>
      </c>
      <c r="S31" s="1">
        <f t="shared" si="8"/>
        <v>1883280</v>
      </c>
      <c r="T31" s="1">
        <f t="shared" si="8"/>
        <v>1883280</v>
      </c>
      <c r="U31" s="1">
        <f t="shared" si="8"/>
        <v>1883280</v>
      </c>
      <c r="V31" s="32">
        <f t="shared" si="8"/>
        <v>1883280</v>
      </c>
      <c r="W31" s="1">
        <f t="shared" si="8"/>
        <v>1883280</v>
      </c>
      <c r="X31" s="1">
        <f t="shared" si="8"/>
        <v>1883280</v>
      </c>
      <c r="Y31" s="1">
        <f t="shared" si="8"/>
        <v>1883280</v>
      </c>
      <c r="Z31" s="32">
        <f t="shared" si="8"/>
        <v>1883280</v>
      </c>
      <c r="AA31" s="1"/>
      <c r="AB31" s="1"/>
      <c r="AC31" s="1"/>
      <c r="AD31" s="1"/>
      <c r="AE31" s="1"/>
      <c r="AF31" s="1"/>
    </row>
    <row r="33" ht="12.75">
      <c r="A33" s="48" t="s">
        <v>132</v>
      </c>
    </row>
    <row r="34" ht="12.75">
      <c r="A34" s="48"/>
    </row>
    <row r="35" spans="1:26" ht="12.75">
      <c r="A35" s="91"/>
      <c r="B35" s="1"/>
      <c r="C35" s="1"/>
      <c r="D35" s="1"/>
      <c r="E35" s="59" t="s">
        <v>140</v>
      </c>
      <c r="F35" s="59"/>
      <c r="G35" s="59"/>
      <c r="H35" s="53"/>
      <c r="I35" s="59" t="s">
        <v>141</v>
      </c>
      <c r="J35" s="59"/>
      <c r="K35" s="59"/>
      <c r="L35" s="53"/>
      <c r="M35" s="59" t="s">
        <v>142</v>
      </c>
      <c r="N35" s="59"/>
      <c r="O35" s="59"/>
      <c r="P35" s="53"/>
      <c r="Q35" s="59" t="s">
        <v>143</v>
      </c>
      <c r="R35" s="59"/>
      <c r="S35" s="59"/>
      <c r="T35" s="53"/>
      <c r="U35" s="59" t="s">
        <v>144</v>
      </c>
      <c r="V35" s="59"/>
      <c r="W35" s="59"/>
      <c r="X35" s="59" t="s">
        <v>145</v>
      </c>
      <c r="Y35" s="59"/>
      <c r="Z35" s="59"/>
    </row>
    <row r="36" spans="1:26" ht="12.75">
      <c r="A36" s="91"/>
      <c r="B36" s="1"/>
      <c r="C36" s="1"/>
      <c r="D36" s="1"/>
      <c r="E36" s="1">
        <v>2003</v>
      </c>
      <c r="F36" s="1">
        <v>2004</v>
      </c>
      <c r="G36" s="1">
        <v>2005</v>
      </c>
      <c r="H36" s="53"/>
      <c r="I36" s="1">
        <v>2006</v>
      </c>
      <c r="J36" s="1">
        <v>2007</v>
      </c>
      <c r="K36" s="1">
        <v>2008</v>
      </c>
      <c r="L36" s="53" t="s">
        <v>40</v>
      </c>
      <c r="M36" s="1">
        <v>2009</v>
      </c>
      <c r="N36" s="1">
        <v>2010</v>
      </c>
      <c r="O36" s="1">
        <v>2011</v>
      </c>
      <c r="P36" s="53" t="s">
        <v>40</v>
      </c>
      <c r="Q36" s="1">
        <v>2012</v>
      </c>
      <c r="R36" s="1">
        <v>2013</v>
      </c>
      <c r="S36" s="1">
        <v>2014</v>
      </c>
      <c r="T36" s="53" t="s">
        <v>40</v>
      </c>
      <c r="U36" s="1">
        <v>2015</v>
      </c>
      <c r="V36" s="1">
        <v>2016</v>
      </c>
      <c r="W36" s="1">
        <v>2017</v>
      </c>
      <c r="X36" s="1">
        <v>2018</v>
      </c>
      <c r="Y36" s="1">
        <v>2019</v>
      </c>
      <c r="Z36" s="1">
        <v>2020</v>
      </c>
    </row>
    <row r="37" spans="1:26" ht="12.75">
      <c r="A37" s="9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"/>
      <c r="B38" s="1" t="s">
        <v>137</v>
      </c>
      <c r="C38" s="1"/>
      <c r="D38" s="1"/>
      <c r="E38" s="28">
        <v>0</v>
      </c>
      <c r="F38" s="28">
        <v>0</v>
      </c>
      <c r="G38" s="28">
        <v>0</v>
      </c>
      <c r="H38" s="1"/>
      <c r="I38" s="28">
        <v>0</v>
      </c>
      <c r="J38" s="28">
        <v>0.17</v>
      </c>
      <c r="K38" s="28">
        <v>0.34</v>
      </c>
      <c r="L38" s="1"/>
      <c r="M38" s="28">
        <v>0.51</v>
      </c>
      <c r="N38" s="28">
        <v>0.68</v>
      </c>
      <c r="O38" s="28">
        <v>0.85</v>
      </c>
      <c r="P38" s="1"/>
      <c r="Q38" s="28">
        <v>1</v>
      </c>
      <c r="R38" s="28">
        <v>1</v>
      </c>
      <c r="S38" s="28">
        <v>1</v>
      </c>
      <c r="T38" s="1"/>
      <c r="U38" s="28">
        <v>1</v>
      </c>
      <c r="V38" s="28">
        <v>1</v>
      </c>
      <c r="W38" s="28">
        <v>1</v>
      </c>
      <c r="X38" s="28">
        <v>1</v>
      </c>
      <c r="Y38" s="28">
        <v>1</v>
      </c>
      <c r="Z38" s="28">
        <v>1</v>
      </c>
    </row>
    <row r="39" spans="1:26" ht="12.75">
      <c r="A39" s="1"/>
      <c r="B39" s="1"/>
      <c r="C39" s="1"/>
      <c r="D39" s="1"/>
      <c r="E39" s="28"/>
      <c r="F39" s="28"/>
      <c r="G39" s="28"/>
      <c r="H39" s="1"/>
      <c r="I39" s="28"/>
      <c r="J39" s="28"/>
      <c r="K39" s="28"/>
      <c r="L39" s="1"/>
      <c r="M39" s="28"/>
      <c r="N39" s="28"/>
      <c r="O39" s="28"/>
      <c r="P39" s="1"/>
      <c r="Q39" s="28"/>
      <c r="R39" s="28"/>
      <c r="S39" s="28"/>
      <c r="T39" s="1"/>
      <c r="U39" s="28"/>
      <c r="V39" s="28"/>
      <c r="W39" s="28"/>
      <c r="X39" s="28"/>
      <c r="Y39" s="28"/>
      <c r="Z39" s="28"/>
    </row>
    <row r="40" spans="1:26" ht="12.75">
      <c r="A40" s="1" t="s">
        <v>138</v>
      </c>
      <c r="B40" s="1" t="s">
        <v>134</v>
      </c>
      <c r="C40" s="1"/>
      <c r="D40" s="1"/>
      <c r="E40" s="32">
        <f>+$F5</f>
        <v>80308.66666666667</v>
      </c>
      <c r="F40" s="32">
        <f>+$F5</f>
        <v>80308.66666666667</v>
      </c>
      <c r="G40" s="32">
        <f>+$F5</f>
        <v>80308.66666666667</v>
      </c>
      <c r="H40" s="1"/>
      <c r="I40" s="32">
        <f>+$J5</f>
        <v>163356</v>
      </c>
      <c r="J40" s="32">
        <f>+$J5</f>
        <v>163356</v>
      </c>
      <c r="K40" s="32">
        <f>+$J5</f>
        <v>163356</v>
      </c>
      <c r="L40" s="1"/>
      <c r="M40" s="32">
        <f>+$N5</f>
        <v>163356</v>
      </c>
      <c r="N40" s="32">
        <f>+$N5</f>
        <v>163356</v>
      </c>
      <c r="O40" s="32">
        <f>+$N5</f>
        <v>163356</v>
      </c>
      <c r="P40" s="1"/>
      <c r="Q40" s="32">
        <f>+$R5</f>
        <v>163356</v>
      </c>
      <c r="R40" s="32">
        <f>+$R5</f>
        <v>163356</v>
      </c>
      <c r="S40" s="32">
        <f>+$R5</f>
        <v>163356</v>
      </c>
      <c r="T40" s="1"/>
      <c r="U40" s="32">
        <f>+$V5</f>
        <v>163356</v>
      </c>
      <c r="V40" s="32">
        <f>+$V5</f>
        <v>163356</v>
      </c>
      <c r="W40" s="32">
        <f>+$V5</f>
        <v>163356</v>
      </c>
      <c r="X40" s="32">
        <f>+$Z5</f>
        <v>163356</v>
      </c>
      <c r="Y40" s="32">
        <f>+$Z5</f>
        <v>163356</v>
      </c>
      <c r="Z40" s="32">
        <f>+$Z5</f>
        <v>163356</v>
      </c>
    </row>
    <row r="41" spans="1:26" ht="12.75">
      <c r="A41" s="1"/>
      <c r="B41" s="1" t="s">
        <v>136</v>
      </c>
      <c r="C41" s="1"/>
      <c r="D41" s="1"/>
      <c r="E41" s="32">
        <f>+$F6*E$38</f>
        <v>0</v>
      </c>
      <c r="F41" s="32">
        <f>+$F6*F$38</f>
        <v>0</v>
      </c>
      <c r="G41" s="32">
        <f>+$F6*G$38</f>
        <v>0</v>
      </c>
      <c r="H41" s="1"/>
      <c r="I41" s="32">
        <f>+$J6*I$38</f>
        <v>0</v>
      </c>
      <c r="J41" s="32">
        <f>+$J6*J$38</f>
        <v>26997.190000000002</v>
      </c>
      <c r="K41" s="32">
        <f>+$J6*K$38</f>
        <v>53994.380000000005</v>
      </c>
      <c r="L41" s="1"/>
      <c r="M41" s="32">
        <f>+$N6*M$38</f>
        <v>80991.57</v>
      </c>
      <c r="N41" s="32">
        <f>+$N6*N$38</f>
        <v>107988.76000000001</v>
      </c>
      <c r="O41" s="32">
        <f>+$N6*O$38</f>
        <v>134985.94999999998</v>
      </c>
      <c r="P41" s="1"/>
      <c r="Q41" s="32">
        <f>+$R6*Q$38</f>
        <v>158807</v>
      </c>
      <c r="R41" s="32">
        <f>+$R6*R$38</f>
        <v>158807</v>
      </c>
      <c r="S41" s="32">
        <f>+$R6*S$38</f>
        <v>158807</v>
      </c>
      <c r="T41" s="1"/>
      <c r="U41" s="32">
        <f>+$V6*U$38</f>
        <v>158807</v>
      </c>
      <c r="V41" s="32">
        <f>+$V6*V$38</f>
        <v>158807</v>
      </c>
      <c r="W41" s="32">
        <f>+$V6*W$38</f>
        <v>158807</v>
      </c>
      <c r="X41" s="32">
        <f>+$Z6*X$38</f>
        <v>158807</v>
      </c>
      <c r="Y41" s="32">
        <f>+$Z6*Y$38</f>
        <v>158807</v>
      </c>
      <c r="Z41" s="32">
        <f>+$Z6*Z$38</f>
        <v>158807</v>
      </c>
    </row>
    <row r="42" spans="1:26" ht="12.75">
      <c r="A42" s="1"/>
      <c r="B42" s="1" t="s">
        <v>35</v>
      </c>
      <c r="C42" s="1"/>
      <c r="D42" s="1"/>
      <c r="E42" s="32">
        <f>+E40+E41</f>
        <v>80308.66666666667</v>
      </c>
      <c r="F42" s="32">
        <f>+F40+F41</f>
        <v>80308.66666666667</v>
      </c>
      <c r="G42" s="32">
        <f>+G40+G41</f>
        <v>80308.66666666667</v>
      </c>
      <c r="H42" s="1"/>
      <c r="I42" s="32">
        <f>+I40+I41</f>
        <v>163356</v>
      </c>
      <c r="J42" s="32">
        <f>+J40+J41</f>
        <v>190353.19</v>
      </c>
      <c r="K42" s="32">
        <f>+K40+K41</f>
        <v>217350.38</v>
      </c>
      <c r="L42" s="1"/>
      <c r="M42" s="32">
        <f>+M40+M41</f>
        <v>244347.57</v>
      </c>
      <c r="N42" s="32">
        <f>+N40+N41</f>
        <v>271344.76</v>
      </c>
      <c r="O42" s="32">
        <f>+O40+O41</f>
        <v>298341.94999999995</v>
      </c>
      <c r="P42" s="1"/>
      <c r="Q42" s="32">
        <f>+Q40+Q41</f>
        <v>322163</v>
      </c>
      <c r="R42" s="32">
        <f>+R40+R41</f>
        <v>322163</v>
      </c>
      <c r="S42" s="32">
        <f>+S40+S41</f>
        <v>322163</v>
      </c>
      <c r="T42" s="1"/>
      <c r="U42" s="32">
        <f aca="true" t="shared" si="9" ref="U42:Z42">+U40+U41</f>
        <v>322163</v>
      </c>
      <c r="V42" s="32">
        <f t="shared" si="9"/>
        <v>322163</v>
      </c>
      <c r="W42" s="32">
        <f t="shared" si="9"/>
        <v>322163</v>
      </c>
      <c r="X42" s="32">
        <f t="shared" si="9"/>
        <v>322163</v>
      </c>
      <c r="Y42" s="32">
        <f t="shared" si="9"/>
        <v>322163</v>
      </c>
      <c r="Z42" s="32">
        <f t="shared" si="9"/>
        <v>322163</v>
      </c>
    </row>
    <row r="43" spans="1:26" ht="12.75">
      <c r="A43" s="1"/>
      <c r="B43" s="1"/>
      <c r="C43" s="1"/>
      <c r="D43" s="1"/>
      <c r="E43" s="32"/>
      <c r="F43" s="32"/>
      <c r="G43" s="32"/>
      <c r="H43" s="1"/>
      <c r="I43" s="32"/>
      <c r="J43" s="32"/>
      <c r="K43" s="32"/>
      <c r="L43" s="1"/>
      <c r="M43" s="32"/>
      <c r="N43" s="32"/>
      <c r="O43" s="32"/>
      <c r="P43" s="1"/>
      <c r="Q43" s="32"/>
      <c r="R43" s="32"/>
      <c r="S43" s="32"/>
      <c r="T43" s="1"/>
      <c r="U43" s="32"/>
      <c r="V43" s="32"/>
      <c r="W43" s="32"/>
      <c r="X43" s="32"/>
      <c r="Y43" s="32"/>
      <c r="Z43" s="32"/>
    </row>
    <row r="44" spans="1:26" ht="12.75">
      <c r="A44" s="1" t="s">
        <v>19</v>
      </c>
      <c r="B44" s="1" t="s">
        <v>134</v>
      </c>
      <c r="C44" s="1"/>
      <c r="D44" s="1"/>
      <c r="E44" s="32">
        <f>+$F9</f>
        <v>190834.33333333334</v>
      </c>
      <c r="F44" s="32">
        <f>+$F9</f>
        <v>190834.33333333334</v>
      </c>
      <c r="G44" s="32">
        <f>+$F9</f>
        <v>190834.33333333334</v>
      </c>
      <c r="H44" s="1"/>
      <c r="I44" s="32">
        <f>+$J9</f>
        <v>213118</v>
      </c>
      <c r="J44" s="32">
        <f>+$J9</f>
        <v>213118</v>
      </c>
      <c r="K44" s="32">
        <f>+$J9</f>
        <v>213118</v>
      </c>
      <c r="L44" s="1"/>
      <c r="M44" s="32">
        <f>+$N9</f>
        <v>213118</v>
      </c>
      <c r="N44" s="32">
        <f>+$N9</f>
        <v>213118</v>
      </c>
      <c r="O44" s="32">
        <f>+$N9</f>
        <v>213118</v>
      </c>
      <c r="P44" s="1"/>
      <c r="Q44" s="32">
        <f>+$R9</f>
        <v>213118</v>
      </c>
      <c r="R44" s="32">
        <f>+$R9</f>
        <v>213118</v>
      </c>
      <c r="S44" s="32">
        <f>+$R9</f>
        <v>213118</v>
      </c>
      <c r="T44" s="1"/>
      <c r="U44" s="32">
        <f>+$V9</f>
        <v>213118</v>
      </c>
      <c r="V44" s="32">
        <f>+$V9</f>
        <v>213118</v>
      </c>
      <c r="W44" s="32">
        <f>+$V9</f>
        <v>213118</v>
      </c>
      <c r="X44" s="32">
        <f>+$Z9</f>
        <v>213118</v>
      </c>
      <c r="Y44" s="32">
        <f>+$Z9</f>
        <v>213118</v>
      </c>
      <c r="Z44" s="32">
        <f>+$Z9</f>
        <v>213118</v>
      </c>
    </row>
    <row r="45" spans="1:26" ht="12.75">
      <c r="A45" s="1"/>
      <c r="B45" s="1" t="s">
        <v>136</v>
      </c>
      <c r="C45" s="1"/>
      <c r="D45" s="1"/>
      <c r="E45" s="32">
        <f>+$F10*E$38</f>
        <v>0</v>
      </c>
      <c r="F45" s="32">
        <f>+$F10*F$38</f>
        <v>0</v>
      </c>
      <c r="G45" s="32">
        <f>+$F10*G$38</f>
        <v>0</v>
      </c>
      <c r="H45" s="1"/>
      <c r="I45" s="32">
        <f>+$J10*I$38</f>
        <v>0</v>
      </c>
      <c r="J45" s="32">
        <f>+$J10*J$38</f>
        <v>35813.05</v>
      </c>
      <c r="K45" s="32">
        <f>+$J10*K$38</f>
        <v>71626.1</v>
      </c>
      <c r="L45" s="1"/>
      <c r="M45" s="32">
        <f>+$N10*M$38</f>
        <v>107439.15000000001</v>
      </c>
      <c r="N45" s="32">
        <f>+$N10*N$38</f>
        <v>143252.2</v>
      </c>
      <c r="O45" s="32">
        <f>+$N10*O$38</f>
        <v>179065.25</v>
      </c>
      <c r="P45" s="1"/>
      <c r="Q45" s="32">
        <f>+$R10*Q$38</f>
        <v>210665</v>
      </c>
      <c r="R45" s="32">
        <f>+$R10*R$38</f>
        <v>210665</v>
      </c>
      <c r="S45" s="32">
        <f>+$R10*S$38</f>
        <v>210665</v>
      </c>
      <c r="T45" s="1"/>
      <c r="U45" s="32">
        <f>+$V10*U$38</f>
        <v>210665</v>
      </c>
      <c r="V45" s="32">
        <f>+$V10*V$38</f>
        <v>210665</v>
      </c>
      <c r="W45" s="32">
        <f>+$V10*W$38</f>
        <v>210665</v>
      </c>
      <c r="X45" s="32">
        <f>+$Z10*X$38</f>
        <v>210665</v>
      </c>
      <c r="Y45" s="32">
        <f>+$Z10*Y$38</f>
        <v>210665</v>
      </c>
      <c r="Z45" s="32">
        <f>+$Z10*Z$38</f>
        <v>210665</v>
      </c>
    </row>
    <row r="46" spans="1:26" ht="12.75">
      <c r="A46" s="1"/>
      <c r="B46" s="1" t="s">
        <v>35</v>
      </c>
      <c r="C46" s="1"/>
      <c r="D46" s="1"/>
      <c r="E46" s="32">
        <f>+E44+E45</f>
        <v>190834.33333333334</v>
      </c>
      <c r="F46" s="32">
        <f>+F44+F45</f>
        <v>190834.33333333334</v>
      </c>
      <c r="G46" s="32">
        <f>+G44+G45</f>
        <v>190834.33333333334</v>
      </c>
      <c r="H46" s="1"/>
      <c r="I46" s="32">
        <f>+I44+I45</f>
        <v>213118</v>
      </c>
      <c r="J46" s="32">
        <f>+J44+J45</f>
        <v>248931.05</v>
      </c>
      <c r="K46" s="32">
        <f>+K44+K45</f>
        <v>284744.1</v>
      </c>
      <c r="L46" s="1"/>
      <c r="M46" s="32">
        <f>+M44+M45</f>
        <v>320557.15</v>
      </c>
      <c r="N46" s="32">
        <f>+N44+N45</f>
        <v>356370.2</v>
      </c>
      <c r="O46" s="32">
        <f>+O44+O45</f>
        <v>392183.25</v>
      </c>
      <c r="P46" s="1"/>
      <c r="Q46" s="32">
        <f>+Q44+Q45</f>
        <v>423783</v>
      </c>
      <c r="R46" s="32">
        <f>+R44+R45</f>
        <v>423783</v>
      </c>
      <c r="S46" s="32">
        <f>+S44+S45</f>
        <v>423783</v>
      </c>
      <c r="T46" s="1"/>
      <c r="U46" s="32">
        <f aca="true" t="shared" si="10" ref="U46:Z46">+U44+U45</f>
        <v>423783</v>
      </c>
      <c r="V46" s="32">
        <f t="shared" si="10"/>
        <v>423783</v>
      </c>
      <c r="W46" s="32">
        <f t="shared" si="10"/>
        <v>423783</v>
      </c>
      <c r="X46" s="32">
        <f t="shared" si="10"/>
        <v>423783</v>
      </c>
      <c r="Y46" s="32">
        <f t="shared" si="10"/>
        <v>423783</v>
      </c>
      <c r="Z46" s="32">
        <f t="shared" si="10"/>
        <v>423783</v>
      </c>
    </row>
    <row r="47" spans="1:26" ht="12.75">
      <c r="A47" s="1"/>
      <c r="B47" s="1"/>
      <c r="C47" s="1"/>
      <c r="D47" s="1"/>
      <c r="E47" s="32"/>
      <c r="F47" s="32"/>
      <c r="G47" s="32"/>
      <c r="H47" s="1"/>
      <c r="I47" s="32"/>
      <c r="J47" s="32"/>
      <c r="K47" s="32"/>
      <c r="L47" s="1"/>
      <c r="M47" s="32"/>
      <c r="N47" s="32"/>
      <c r="O47" s="32"/>
      <c r="P47" s="1"/>
      <c r="Q47" s="32"/>
      <c r="R47" s="32"/>
      <c r="S47" s="32"/>
      <c r="T47" s="1"/>
      <c r="U47" s="32"/>
      <c r="V47" s="32"/>
      <c r="W47" s="32"/>
      <c r="X47" s="32"/>
      <c r="Y47" s="32"/>
      <c r="Z47" s="32"/>
    </row>
    <row r="48" spans="1:26" ht="12.75">
      <c r="A48" s="1" t="s">
        <v>20</v>
      </c>
      <c r="B48" s="1" t="s">
        <v>134</v>
      </c>
      <c r="C48" s="1"/>
      <c r="D48" s="1"/>
      <c r="E48" s="32">
        <f>+$F13</f>
        <v>224335</v>
      </c>
      <c r="F48" s="32">
        <f>+$F13</f>
        <v>224335</v>
      </c>
      <c r="G48" s="32">
        <f>+$F13</f>
        <v>224335</v>
      </c>
      <c r="H48" s="1"/>
      <c r="I48" s="32">
        <f>+$J13</f>
        <v>241138</v>
      </c>
      <c r="J48" s="32">
        <f>+$J13</f>
        <v>241138</v>
      </c>
      <c r="K48" s="32">
        <f>+$J13</f>
        <v>241138</v>
      </c>
      <c r="L48" s="1"/>
      <c r="M48" s="32">
        <f>+$N13</f>
        <v>241138</v>
      </c>
      <c r="N48" s="32">
        <f>+$N13</f>
        <v>241138</v>
      </c>
      <c r="O48" s="32">
        <f>+$N13</f>
        <v>241138</v>
      </c>
      <c r="P48" s="1"/>
      <c r="Q48" s="32">
        <f>+$R13</f>
        <v>241138</v>
      </c>
      <c r="R48" s="32">
        <f>+$R13</f>
        <v>241138</v>
      </c>
      <c r="S48" s="32">
        <f>+$R13</f>
        <v>241138</v>
      </c>
      <c r="T48" s="1"/>
      <c r="U48" s="32">
        <f>+$V13</f>
        <v>241138</v>
      </c>
      <c r="V48" s="32">
        <f>+$V13</f>
        <v>241138</v>
      </c>
      <c r="W48" s="32">
        <f>+$V13</f>
        <v>241138</v>
      </c>
      <c r="X48" s="32">
        <f>+$Z13</f>
        <v>241138</v>
      </c>
      <c r="Y48" s="32">
        <f>+$Z13</f>
        <v>241138</v>
      </c>
      <c r="Z48" s="32">
        <f>+$Z13</f>
        <v>241138</v>
      </c>
    </row>
    <row r="49" spans="1:26" ht="12.75">
      <c r="A49" s="1"/>
      <c r="B49" s="1" t="s">
        <v>136</v>
      </c>
      <c r="C49" s="1"/>
      <c r="D49" s="1"/>
      <c r="E49" s="32">
        <f>+$F14*E$38</f>
        <v>0</v>
      </c>
      <c r="F49" s="32">
        <f>+$F14*F$38</f>
        <v>0</v>
      </c>
      <c r="G49" s="32">
        <f>+$F14*G$38</f>
        <v>0</v>
      </c>
      <c r="H49" s="1"/>
      <c r="I49" s="32">
        <f>+$J14*I$38</f>
        <v>0</v>
      </c>
      <c r="J49" s="32">
        <f>+$J14*J$38</f>
        <v>36964.46</v>
      </c>
      <c r="K49" s="32">
        <f>+$J14*K$38</f>
        <v>73928.92</v>
      </c>
      <c r="L49" s="1"/>
      <c r="M49" s="32">
        <f>+$N14*M$38</f>
        <v>110893.38</v>
      </c>
      <c r="N49" s="32">
        <f>+$N14*N$38</f>
        <v>147857.84</v>
      </c>
      <c r="O49" s="32">
        <f>+$N14*O$38</f>
        <v>184822.3</v>
      </c>
      <c r="P49" s="1"/>
      <c r="Q49" s="32">
        <f>+$R14*Q$38</f>
        <v>217438</v>
      </c>
      <c r="R49" s="32">
        <f>+$R14*R$38</f>
        <v>217438</v>
      </c>
      <c r="S49" s="32">
        <f>+$R14*S$38</f>
        <v>217438</v>
      </c>
      <c r="T49" s="1"/>
      <c r="U49" s="32">
        <f>+$V14*U$38</f>
        <v>217438</v>
      </c>
      <c r="V49" s="32">
        <f>+$V14*V$38</f>
        <v>217438</v>
      </c>
      <c r="W49" s="32">
        <f>+$V14*W$38</f>
        <v>217438</v>
      </c>
      <c r="X49" s="32">
        <f>+$Z14*X$38</f>
        <v>217438</v>
      </c>
      <c r="Y49" s="32">
        <f>+$Z14*Y$38</f>
        <v>217438</v>
      </c>
      <c r="Z49" s="32">
        <f>+$Z14*Z$38</f>
        <v>217438</v>
      </c>
    </row>
    <row r="50" spans="1:26" ht="12.75">
      <c r="A50" s="1"/>
      <c r="B50" s="1" t="s">
        <v>35</v>
      </c>
      <c r="C50" s="1"/>
      <c r="D50" s="1"/>
      <c r="E50" s="32">
        <f>+E48+E49</f>
        <v>224335</v>
      </c>
      <c r="F50" s="32">
        <f>+F48+F49</f>
        <v>224335</v>
      </c>
      <c r="G50" s="32">
        <f>+G48+G49</f>
        <v>224335</v>
      </c>
      <c r="H50" s="1"/>
      <c r="I50" s="32">
        <f>+I48+I49</f>
        <v>241138</v>
      </c>
      <c r="J50" s="32">
        <f>+J48+J49</f>
        <v>278102.46</v>
      </c>
      <c r="K50" s="32">
        <f>+K48+K49</f>
        <v>315066.92</v>
      </c>
      <c r="L50" s="1"/>
      <c r="M50" s="32">
        <f>+M48+M49</f>
        <v>352031.38</v>
      </c>
      <c r="N50" s="32">
        <f>+N48+N49</f>
        <v>388995.83999999997</v>
      </c>
      <c r="O50" s="32">
        <f>+O48+O49</f>
        <v>425960.3</v>
      </c>
      <c r="P50" s="1"/>
      <c r="Q50" s="32">
        <f>+Q48+Q49</f>
        <v>458576</v>
      </c>
      <c r="R50" s="32">
        <f>+R48+R49</f>
        <v>458576</v>
      </c>
      <c r="S50" s="32">
        <f>+S48+S49</f>
        <v>458576</v>
      </c>
      <c r="T50" s="1"/>
      <c r="U50" s="32">
        <f aca="true" t="shared" si="11" ref="U50:Z50">+U48+U49</f>
        <v>458576</v>
      </c>
      <c r="V50" s="32">
        <f t="shared" si="11"/>
        <v>458576</v>
      </c>
      <c r="W50" s="32">
        <f t="shared" si="11"/>
        <v>458576</v>
      </c>
      <c r="X50" s="32">
        <f t="shared" si="11"/>
        <v>458576</v>
      </c>
      <c r="Y50" s="32">
        <f t="shared" si="11"/>
        <v>458576</v>
      </c>
      <c r="Z50" s="32">
        <f t="shared" si="11"/>
        <v>458576</v>
      </c>
    </row>
    <row r="51" spans="1:26" ht="12.75">
      <c r="A51" s="1"/>
      <c r="B51" s="1"/>
      <c r="C51" s="1"/>
      <c r="D51" s="1"/>
      <c r="E51" s="32"/>
      <c r="F51" s="32"/>
      <c r="G51" s="32"/>
      <c r="H51" s="1"/>
      <c r="I51" s="32"/>
      <c r="J51" s="32"/>
      <c r="K51" s="32"/>
      <c r="L51" s="1"/>
      <c r="M51" s="32"/>
      <c r="N51" s="32"/>
      <c r="O51" s="32"/>
      <c r="P51" s="1"/>
      <c r="Q51" s="32"/>
      <c r="R51" s="32"/>
      <c r="S51" s="32"/>
      <c r="T51" s="1"/>
      <c r="U51" s="32"/>
      <c r="V51" s="32"/>
      <c r="W51" s="32"/>
      <c r="X51" s="32"/>
      <c r="Y51" s="32"/>
      <c r="Z51" s="32"/>
    </row>
    <row r="52" spans="1:26" ht="12.75">
      <c r="A52" s="1" t="s">
        <v>21</v>
      </c>
      <c r="B52" s="1" t="s">
        <v>134</v>
      </c>
      <c r="C52" s="1"/>
      <c r="D52" s="1"/>
      <c r="E52" s="32">
        <f>+$F17</f>
        <v>163555.66666666666</v>
      </c>
      <c r="F52" s="32">
        <f>+$F17</f>
        <v>163555.66666666666</v>
      </c>
      <c r="G52" s="32">
        <f>+$F17</f>
        <v>163555.66666666666</v>
      </c>
      <c r="H52" s="1"/>
      <c r="I52" s="32">
        <f>+$J17</f>
        <v>216657</v>
      </c>
      <c r="J52" s="32">
        <f>+$J17</f>
        <v>216657</v>
      </c>
      <c r="K52" s="32">
        <f>+$J17</f>
        <v>216657</v>
      </c>
      <c r="L52" s="1"/>
      <c r="M52" s="32">
        <f>+$N17</f>
        <v>216657</v>
      </c>
      <c r="N52" s="32">
        <f>+$N17</f>
        <v>216657</v>
      </c>
      <c r="O52" s="32">
        <f>+$N17</f>
        <v>216657</v>
      </c>
      <c r="P52" s="1"/>
      <c r="Q52" s="32">
        <f>+$R17</f>
        <v>216657</v>
      </c>
      <c r="R52" s="32">
        <f>+$R17</f>
        <v>216657</v>
      </c>
      <c r="S52" s="32">
        <f>+$R17</f>
        <v>216657</v>
      </c>
      <c r="T52" s="1"/>
      <c r="U52" s="32">
        <f>+$V17</f>
        <v>216657</v>
      </c>
      <c r="V52" s="32">
        <f>+$V17</f>
        <v>216657</v>
      </c>
      <c r="W52" s="32">
        <f>+$V17</f>
        <v>216657</v>
      </c>
      <c r="X52" s="32">
        <f>+$Z17</f>
        <v>216657</v>
      </c>
      <c r="Y52" s="32">
        <f>+$Z17</f>
        <v>216657</v>
      </c>
      <c r="Z52" s="32">
        <f>+$Z17</f>
        <v>216657</v>
      </c>
    </row>
    <row r="53" spans="1:26" ht="12.75">
      <c r="A53" s="1"/>
      <c r="B53" s="1" t="s">
        <v>136</v>
      </c>
      <c r="C53" s="1"/>
      <c r="D53" s="1"/>
      <c r="E53" s="32">
        <f>+$F18*E$38</f>
        <v>0</v>
      </c>
      <c r="F53" s="32">
        <f>+$F18*F$38</f>
        <v>0</v>
      </c>
      <c r="G53" s="32">
        <f>+$F18*G$38</f>
        <v>0</v>
      </c>
      <c r="H53" s="1"/>
      <c r="I53" s="32">
        <f>+$J18*I$38</f>
        <v>0</v>
      </c>
      <c r="J53" s="32">
        <f>+$J18*J$38</f>
        <v>3577.3100000000004</v>
      </c>
      <c r="K53" s="32">
        <f>+$J18*K$38</f>
        <v>7154.620000000001</v>
      </c>
      <c r="L53" s="1"/>
      <c r="M53" s="32">
        <f>+$N18*M$38</f>
        <v>10731.93</v>
      </c>
      <c r="N53" s="32">
        <f>+$N18*N$38</f>
        <v>14309.240000000002</v>
      </c>
      <c r="O53" s="32">
        <f>+$N18*O$38</f>
        <v>17886.55</v>
      </c>
      <c r="P53" s="1"/>
      <c r="Q53" s="32">
        <f>+$R18*Q$38</f>
        <v>21043</v>
      </c>
      <c r="R53" s="32">
        <f>+$R18*R$38</f>
        <v>21043</v>
      </c>
      <c r="S53" s="32">
        <f>+$R18*S$38</f>
        <v>21043</v>
      </c>
      <c r="T53" s="1"/>
      <c r="U53" s="32">
        <f>+$V18*U$38</f>
        <v>21043</v>
      </c>
      <c r="V53" s="32">
        <f>+$V18*V$38</f>
        <v>21043</v>
      </c>
      <c r="W53" s="32">
        <f>+$V18*W$38</f>
        <v>21043</v>
      </c>
      <c r="X53" s="32">
        <f>+$Z18*X$38</f>
        <v>21043</v>
      </c>
      <c r="Y53" s="32">
        <f>+$Z18*Y$38</f>
        <v>21043</v>
      </c>
      <c r="Z53" s="32">
        <f>+$Z18*Z$38</f>
        <v>21043</v>
      </c>
    </row>
    <row r="54" spans="1:26" ht="12.75">
      <c r="A54" s="1"/>
      <c r="B54" s="1" t="s">
        <v>35</v>
      </c>
      <c r="C54" s="1"/>
      <c r="D54" s="1"/>
      <c r="E54" s="32">
        <f>+E52+E53</f>
        <v>163555.66666666666</v>
      </c>
      <c r="F54" s="32">
        <f>+F52+F53</f>
        <v>163555.66666666666</v>
      </c>
      <c r="G54" s="32">
        <f>+G52+G53</f>
        <v>163555.66666666666</v>
      </c>
      <c r="H54" s="1"/>
      <c r="I54" s="32">
        <f>+I52+I53</f>
        <v>216657</v>
      </c>
      <c r="J54" s="32">
        <f>+J52+J53</f>
        <v>220234.31</v>
      </c>
      <c r="K54" s="32">
        <f>+K52+K53</f>
        <v>223811.62</v>
      </c>
      <c r="L54" s="1"/>
      <c r="M54" s="32">
        <f>+M52+M53</f>
        <v>227388.93</v>
      </c>
      <c r="N54" s="32">
        <f>+N52+N53</f>
        <v>230966.24</v>
      </c>
      <c r="O54" s="32">
        <f>+O52+O53</f>
        <v>234543.55</v>
      </c>
      <c r="P54" s="1"/>
      <c r="Q54" s="32">
        <f>+Q52+Q53</f>
        <v>237700</v>
      </c>
      <c r="R54" s="32">
        <f>+R52+R53</f>
        <v>237700</v>
      </c>
      <c r="S54" s="32">
        <f>+S52+S53</f>
        <v>237700</v>
      </c>
      <c r="T54" s="1"/>
      <c r="U54" s="32">
        <f aca="true" t="shared" si="12" ref="U54:Z54">+U52+U53</f>
        <v>237700</v>
      </c>
      <c r="V54" s="32">
        <f t="shared" si="12"/>
        <v>237700</v>
      </c>
      <c r="W54" s="32">
        <f t="shared" si="12"/>
        <v>237700</v>
      </c>
      <c r="X54" s="32">
        <f t="shared" si="12"/>
        <v>237700</v>
      </c>
      <c r="Y54" s="32">
        <f t="shared" si="12"/>
        <v>237700</v>
      </c>
      <c r="Z54" s="32">
        <f t="shared" si="12"/>
        <v>237700</v>
      </c>
    </row>
    <row r="55" spans="1:26" ht="12.75">
      <c r="A55" s="1"/>
      <c r="B55" s="1"/>
      <c r="C55" s="1"/>
      <c r="D55" s="1"/>
      <c r="E55" s="32"/>
      <c r="F55" s="32"/>
      <c r="G55" s="32"/>
      <c r="H55" s="1"/>
      <c r="I55" s="32"/>
      <c r="J55" s="32"/>
      <c r="K55" s="32"/>
      <c r="L55" s="1"/>
      <c r="M55" s="32"/>
      <c r="N55" s="32"/>
      <c r="O55" s="32"/>
      <c r="P55" s="1"/>
      <c r="Q55" s="32"/>
      <c r="R55" s="32"/>
      <c r="S55" s="32"/>
      <c r="T55" s="1"/>
      <c r="U55" s="32"/>
      <c r="V55" s="32"/>
      <c r="W55" s="32"/>
      <c r="X55" s="32"/>
      <c r="Y55" s="32"/>
      <c r="Z55" s="32"/>
    </row>
    <row r="56" spans="1:26" ht="12.75">
      <c r="A56" s="1" t="s">
        <v>22</v>
      </c>
      <c r="B56" s="1" t="s">
        <v>134</v>
      </c>
      <c r="C56" s="1"/>
      <c r="D56" s="1"/>
      <c r="E56" s="32">
        <f>+$F21</f>
        <v>59646.333333333336</v>
      </c>
      <c r="F56" s="32">
        <f>+$F21</f>
        <v>59646.333333333336</v>
      </c>
      <c r="G56" s="32">
        <f>+$F21</f>
        <v>59646.333333333336</v>
      </c>
      <c r="H56" s="1"/>
      <c r="I56" s="32">
        <f>+$J21</f>
        <v>57402</v>
      </c>
      <c r="J56" s="32">
        <f>+$J21</f>
        <v>57402</v>
      </c>
      <c r="K56" s="32">
        <f>+$J21</f>
        <v>57402</v>
      </c>
      <c r="L56" s="1"/>
      <c r="M56" s="32">
        <f>+$N21</f>
        <v>57402</v>
      </c>
      <c r="N56" s="32">
        <f>+$N21</f>
        <v>57402</v>
      </c>
      <c r="O56" s="32">
        <f>+$N21</f>
        <v>57402</v>
      </c>
      <c r="P56" s="1"/>
      <c r="Q56" s="32">
        <f>+$R21</f>
        <v>57402</v>
      </c>
      <c r="R56" s="32">
        <f>+$R21</f>
        <v>57402</v>
      </c>
      <c r="S56" s="32">
        <f>+$R21</f>
        <v>57402</v>
      </c>
      <c r="T56" s="1"/>
      <c r="U56" s="32">
        <f>+$V21</f>
        <v>57402</v>
      </c>
      <c r="V56" s="32">
        <f>+$V21</f>
        <v>57402</v>
      </c>
      <c r="W56" s="32">
        <f>+$V21</f>
        <v>57402</v>
      </c>
      <c r="X56" s="32">
        <f>+$Z21</f>
        <v>57402</v>
      </c>
      <c r="Y56" s="32">
        <f>+$Z21</f>
        <v>57402</v>
      </c>
      <c r="Z56" s="32">
        <f>+$Z21</f>
        <v>57402</v>
      </c>
    </row>
    <row r="57" spans="1:26" ht="12.75">
      <c r="A57" s="1"/>
      <c r="B57" s="1" t="s">
        <v>136</v>
      </c>
      <c r="C57" s="1"/>
      <c r="D57" s="1"/>
      <c r="E57" s="32">
        <f>+$F22*E$38</f>
        <v>0</v>
      </c>
      <c r="F57" s="32">
        <f>+$F22*F$38</f>
        <v>0</v>
      </c>
      <c r="G57" s="32">
        <f>+$F22*G$38</f>
        <v>0</v>
      </c>
      <c r="H57" s="1"/>
      <c r="I57" s="32">
        <f>+$J22*I$38</f>
        <v>0</v>
      </c>
      <c r="J57" s="32">
        <f>+$J22*J$38</f>
        <v>6035</v>
      </c>
      <c r="K57" s="32">
        <f>+$J22*K$38</f>
        <v>12070</v>
      </c>
      <c r="L57" s="1"/>
      <c r="M57" s="32">
        <f>+$N22*M$38</f>
        <v>18105</v>
      </c>
      <c r="N57" s="32">
        <f>+$N22*N$38</f>
        <v>24140</v>
      </c>
      <c r="O57" s="32">
        <f>+$N22*O$38</f>
        <v>30175</v>
      </c>
      <c r="P57" s="1"/>
      <c r="Q57" s="32">
        <f>+$R22*Q$38</f>
        <v>35500</v>
      </c>
      <c r="R57" s="32">
        <f>+$R22*R$38</f>
        <v>35500</v>
      </c>
      <c r="S57" s="32">
        <f>+$R22*S$38</f>
        <v>35500</v>
      </c>
      <c r="T57" s="1"/>
      <c r="U57" s="32">
        <f>+$V22*U$38</f>
        <v>35500</v>
      </c>
      <c r="V57" s="32">
        <f>+$V22*V$38</f>
        <v>35500</v>
      </c>
      <c r="W57" s="32">
        <f>+$V22*W$38</f>
        <v>35500</v>
      </c>
      <c r="X57" s="32">
        <f>+$Z22*X$38</f>
        <v>35500</v>
      </c>
      <c r="Y57" s="32">
        <f>+$Z22*Y$38</f>
        <v>35500</v>
      </c>
      <c r="Z57" s="32">
        <f>+$Z22*Z$38</f>
        <v>35500</v>
      </c>
    </row>
    <row r="58" spans="1:26" ht="12.75">
      <c r="A58" s="1"/>
      <c r="B58" s="1" t="s">
        <v>35</v>
      </c>
      <c r="C58" s="1"/>
      <c r="D58" s="1"/>
      <c r="E58" s="32">
        <f>+E56+E57</f>
        <v>59646.333333333336</v>
      </c>
      <c r="F58" s="32">
        <f>+F56+F57</f>
        <v>59646.333333333336</v>
      </c>
      <c r="G58" s="32">
        <f>+G56+G57</f>
        <v>59646.333333333336</v>
      </c>
      <c r="H58" s="1"/>
      <c r="I58" s="32">
        <f>+I56+I57</f>
        <v>57402</v>
      </c>
      <c r="J58" s="32">
        <f>+J56+J57</f>
        <v>63437</v>
      </c>
      <c r="K58" s="32">
        <f>+K56+K57</f>
        <v>69472</v>
      </c>
      <c r="L58" s="1"/>
      <c r="M58" s="32">
        <f>+M56+M57</f>
        <v>75507</v>
      </c>
      <c r="N58" s="32">
        <f>+N56+N57</f>
        <v>81542</v>
      </c>
      <c r="O58" s="32">
        <f>+O56+O57</f>
        <v>87577</v>
      </c>
      <c r="P58" s="1"/>
      <c r="Q58" s="32">
        <f>+Q56+Q57</f>
        <v>92902</v>
      </c>
      <c r="R58" s="32">
        <f>+R56+R57</f>
        <v>92902</v>
      </c>
      <c r="S58" s="32">
        <f>+S56+S57</f>
        <v>92902</v>
      </c>
      <c r="T58" s="1"/>
      <c r="U58" s="32">
        <f aca="true" t="shared" si="13" ref="U58:Z58">+U56+U57</f>
        <v>92902</v>
      </c>
      <c r="V58" s="32">
        <f t="shared" si="13"/>
        <v>92902</v>
      </c>
      <c r="W58" s="32">
        <f t="shared" si="13"/>
        <v>92902</v>
      </c>
      <c r="X58" s="32">
        <f t="shared" si="13"/>
        <v>92902</v>
      </c>
      <c r="Y58" s="32">
        <f t="shared" si="13"/>
        <v>92902</v>
      </c>
      <c r="Z58" s="32">
        <f t="shared" si="13"/>
        <v>92902</v>
      </c>
    </row>
    <row r="59" spans="1:26" ht="12.75">
      <c r="A59" s="1"/>
      <c r="B59" s="1"/>
      <c r="C59" s="1"/>
      <c r="D59" s="1"/>
      <c r="E59" s="32"/>
      <c r="F59" s="32"/>
      <c r="G59" s="32"/>
      <c r="H59" s="1"/>
      <c r="I59" s="32"/>
      <c r="J59" s="32"/>
      <c r="K59" s="32"/>
      <c r="L59" s="1"/>
      <c r="M59" s="32"/>
      <c r="N59" s="32"/>
      <c r="O59" s="32"/>
      <c r="P59" s="1"/>
      <c r="Q59" s="32"/>
      <c r="R59" s="32"/>
      <c r="S59" s="32"/>
      <c r="T59" s="1"/>
      <c r="U59" s="32"/>
      <c r="V59" s="32"/>
      <c r="W59" s="32"/>
      <c r="X59" s="32"/>
      <c r="Y59" s="32"/>
      <c r="Z59" s="32"/>
    </row>
    <row r="60" spans="1:26" ht="12.75">
      <c r="A60" s="1" t="s">
        <v>23</v>
      </c>
      <c r="B60" s="1" t="s">
        <v>134</v>
      </c>
      <c r="C60" s="1"/>
      <c r="D60" s="1"/>
      <c r="E60" s="32">
        <f>+$F25</f>
        <v>198717.66666666666</v>
      </c>
      <c r="F60" s="32">
        <f>+$F25</f>
        <v>198717.66666666666</v>
      </c>
      <c r="G60" s="32">
        <f>+$F25</f>
        <v>198717.66666666666</v>
      </c>
      <c r="H60" s="1"/>
      <c r="I60" s="32">
        <f>+$J25</f>
        <v>238893</v>
      </c>
      <c r="J60" s="32">
        <f>+$J25</f>
        <v>238893</v>
      </c>
      <c r="K60" s="32">
        <f>+$J25</f>
        <v>238893</v>
      </c>
      <c r="L60" s="1"/>
      <c r="M60" s="32">
        <f>+$N25</f>
        <v>238893</v>
      </c>
      <c r="N60" s="32">
        <f>+$N25</f>
        <v>238893</v>
      </c>
      <c r="O60" s="32">
        <f>+$N25</f>
        <v>238893</v>
      </c>
      <c r="P60" s="1"/>
      <c r="Q60" s="32">
        <f>+$R25</f>
        <v>238893</v>
      </c>
      <c r="R60" s="32">
        <f>+$R25</f>
        <v>238893</v>
      </c>
      <c r="S60" s="32">
        <f>+$R25</f>
        <v>238893</v>
      </c>
      <c r="T60" s="1"/>
      <c r="U60" s="32">
        <f>+$V25</f>
        <v>238893</v>
      </c>
      <c r="V60" s="32">
        <f>+$V25</f>
        <v>238893</v>
      </c>
      <c r="W60" s="32">
        <f>+$V25</f>
        <v>238893</v>
      </c>
      <c r="X60" s="32">
        <f>+$Z25</f>
        <v>238893</v>
      </c>
      <c r="Y60" s="32">
        <f>+$Z25</f>
        <v>238893</v>
      </c>
      <c r="Z60" s="32">
        <f>+$Z25</f>
        <v>238893</v>
      </c>
    </row>
    <row r="61" spans="1:26" ht="12.75">
      <c r="A61" s="1"/>
      <c r="B61" s="1" t="s">
        <v>136</v>
      </c>
      <c r="C61" s="1"/>
      <c r="D61" s="1"/>
      <c r="E61" s="32">
        <f>+$F26*E$38</f>
        <v>0</v>
      </c>
      <c r="F61" s="32">
        <f>+$F26*F$38</f>
        <v>0</v>
      </c>
      <c r="G61" s="32">
        <f>+$F26*G$38</f>
        <v>0</v>
      </c>
      <c r="H61" s="1"/>
      <c r="I61" s="32">
        <f>+$J26*I$38</f>
        <v>0</v>
      </c>
      <c r="J61" s="32">
        <f>+$J26*J$38</f>
        <v>18574.710000000003</v>
      </c>
      <c r="K61" s="32">
        <f>+$J26*K$38</f>
        <v>37149.420000000006</v>
      </c>
      <c r="L61" s="1"/>
      <c r="M61" s="32">
        <f>+$N26*M$38</f>
        <v>55724.13</v>
      </c>
      <c r="N61" s="32">
        <f>+$N26*N$38</f>
        <v>74298.84000000001</v>
      </c>
      <c r="O61" s="32">
        <f>+$N26*O$38</f>
        <v>92873.55</v>
      </c>
      <c r="P61" s="1"/>
      <c r="Q61" s="32">
        <f>+$R26*Q$38</f>
        <v>109263</v>
      </c>
      <c r="R61" s="32">
        <f>+$R26*R$38</f>
        <v>109263</v>
      </c>
      <c r="S61" s="32">
        <f>+$R26*S$38</f>
        <v>109263</v>
      </c>
      <c r="T61" s="1"/>
      <c r="U61" s="32">
        <f>+$V26*U$38</f>
        <v>109263</v>
      </c>
      <c r="V61" s="32">
        <f>+$V26*V$38</f>
        <v>109263</v>
      </c>
      <c r="W61" s="32">
        <f>+$V26*W$38</f>
        <v>109263</v>
      </c>
      <c r="X61" s="32">
        <f>+$Z26*X$38</f>
        <v>109263</v>
      </c>
      <c r="Y61" s="32">
        <f>+$Z26*Y$38</f>
        <v>109263</v>
      </c>
      <c r="Z61" s="32">
        <f>+$Z26*Z$38</f>
        <v>109263</v>
      </c>
    </row>
    <row r="62" spans="1:26" ht="12.75">
      <c r="A62" s="1"/>
      <c r="B62" s="1" t="s">
        <v>35</v>
      </c>
      <c r="C62" s="1"/>
      <c r="D62" s="1"/>
      <c r="E62" s="32">
        <f>+E60+E61</f>
        <v>198717.66666666666</v>
      </c>
      <c r="F62" s="32">
        <f>+F60+F61</f>
        <v>198717.66666666666</v>
      </c>
      <c r="G62" s="32">
        <f>+G60+G61</f>
        <v>198717.66666666666</v>
      </c>
      <c r="H62" s="1"/>
      <c r="I62" s="32">
        <f>+I60+I61</f>
        <v>238893</v>
      </c>
      <c r="J62" s="32">
        <f>+J60+J61</f>
        <v>257467.71</v>
      </c>
      <c r="K62" s="32">
        <f>+K60+K61</f>
        <v>276042.42</v>
      </c>
      <c r="L62" s="1"/>
      <c r="M62" s="32">
        <f>+M60+M61</f>
        <v>294617.13</v>
      </c>
      <c r="N62" s="32">
        <f>+N60+N61</f>
        <v>313191.84</v>
      </c>
      <c r="O62" s="32">
        <f>+O60+O61</f>
        <v>331766.55</v>
      </c>
      <c r="P62" s="1"/>
      <c r="Q62" s="32">
        <f>+Q60+Q61</f>
        <v>348156</v>
      </c>
      <c r="R62" s="32">
        <f>+R60+R61</f>
        <v>348156</v>
      </c>
      <c r="S62" s="32">
        <f>+S60+S61</f>
        <v>348156</v>
      </c>
      <c r="T62" s="1"/>
      <c r="U62" s="32">
        <f aca="true" t="shared" si="14" ref="U62:Z62">+U60+U61</f>
        <v>348156</v>
      </c>
      <c r="V62" s="32">
        <f t="shared" si="14"/>
        <v>348156</v>
      </c>
      <c r="W62" s="32">
        <f t="shared" si="14"/>
        <v>348156</v>
      </c>
      <c r="X62" s="32">
        <f t="shared" si="14"/>
        <v>348156</v>
      </c>
      <c r="Y62" s="32">
        <f t="shared" si="14"/>
        <v>348156</v>
      </c>
      <c r="Z62" s="32">
        <f t="shared" si="14"/>
        <v>348156</v>
      </c>
    </row>
    <row r="63" spans="1:26" ht="12.75">
      <c r="A63" s="1"/>
      <c r="B63" s="1"/>
      <c r="C63" s="1"/>
      <c r="D63" s="1"/>
      <c r="E63" s="32"/>
      <c r="F63" s="32"/>
      <c r="G63" s="32"/>
      <c r="H63" s="1"/>
      <c r="I63" s="32"/>
      <c r="J63" s="32"/>
      <c r="K63" s="32"/>
      <c r="L63" s="1"/>
      <c r="M63" s="32"/>
      <c r="N63" s="32"/>
      <c r="O63" s="32"/>
      <c r="P63" s="1"/>
      <c r="Q63" s="32"/>
      <c r="R63" s="32"/>
      <c r="S63" s="32"/>
      <c r="T63" s="1"/>
      <c r="U63" s="32"/>
      <c r="V63" s="32"/>
      <c r="W63" s="32"/>
      <c r="X63" s="32"/>
      <c r="Y63" s="32"/>
      <c r="Z63" s="32"/>
    </row>
    <row r="64" spans="1:26" ht="12.75">
      <c r="A64" s="1" t="s">
        <v>35</v>
      </c>
      <c r="B64" s="1" t="s">
        <v>134</v>
      </c>
      <c r="C64" s="1"/>
      <c r="D64" s="1"/>
      <c r="E64" s="32">
        <f>+$F29</f>
        <v>917397.6666666666</v>
      </c>
      <c r="F64" s="32">
        <f>+$F29</f>
        <v>917397.6666666666</v>
      </c>
      <c r="G64" s="32">
        <f>+$F29</f>
        <v>917397.6666666666</v>
      </c>
      <c r="H64" s="1"/>
      <c r="I64" s="32">
        <f>+$J29</f>
        <v>1130564</v>
      </c>
      <c r="J64" s="32">
        <f>+$J29</f>
        <v>1130564</v>
      </c>
      <c r="K64" s="32">
        <f>+$J29</f>
        <v>1130564</v>
      </c>
      <c r="L64" s="1"/>
      <c r="M64" s="32">
        <f>+$N29</f>
        <v>1130564</v>
      </c>
      <c r="N64" s="32">
        <f>+$N29</f>
        <v>1130564</v>
      </c>
      <c r="O64" s="32">
        <f>+$N29</f>
        <v>1130564</v>
      </c>
      <c r="P64" s="1"/>
      <c r="Q64" s="32">
        <f>+$R29</f>
        <v>1130564</v>
      </c>
      <c r="R64" s="32">
        <f>+$R29</f>
        <v>1130564</v>
      </c>
      <c r="S64" s="32">
        <f>+$R29</f>
        <v>1130564</v>
      </c>
      <c r="T64" s="1"/>
      <c r="U64" s="32">
        <f>+$V29</f>
        <v>1130564</v>
      </c>
      <c r="V64" s="32">
        <f>+$V29</f>
        <v>1130564</v>
      </c>
      <c r="W64" s="32">
        <f>+$V29</f>
        <v>1130564</v>
      </c>
      <c r="X64" s="32">
        <f>+$Z29</f>
        <v>1130564</v>
      </c>
      <c r="Y64" s="32">
        <f>+$Z29</f>
        <v>1130564</v>
      </c>
      <c r="Z64" s="32">
        <f>+$Z29</f>
        <v>1130564</v>
      </c>
    </row>
    <row r="65" spans="1:26" ht="12.75">
      <c r="A65" s="1"/>
      <c r="B65" s="1" t="s">
        <v>136</v>
      </c>
      <c r="C65" s="1"/>
      <c r="D65" s="1"/>
      <c r="E65" s="32">
        <f>+$F30*E$38</f>
        <v>0</v>
      </c>
      <c r="F65" s="32">
        <f>+$F30*F$38</f>
        <v>0</v>
      </c>
      <c r="G65" s="32">
        <f>+$F30*G$38</f>
        <v>0</v>
      </c>
      <c r="H65" s="1"/>
      <c r="I65" s="32">
        <f>+$J30*I$38</f>
        <v>0</v>
      </c>
      <c r="J65" s="32">
        <f>+$J30*J$38</f>
        <v>127961.72000000002</v>
      </c>
      <c r="K65" s="32">
        <f>+$J30*K$38</f>
        <v>255923.44000000003</v>
      </c>
      <c r="L65" s="1"/>
      <c r="M65" s="32">
        <f>+$N30*M$38</f>
        <v>383885.16000000003</v>
      </c>
      <c r="N65" s="32">
        <f>+$N30*N$38</f>
        <v>511846.88000000006</v>
      </c>
      <c r="O65" s="32">
        <f>+$N30*O$38</f>
        <v>639808.6</v>
      </c>
      <c r="P65" s="1"/>
      <c r="Q65" s="32">
        <f>+$R30*Q$38</f>
        <v>752716</v>
      </c>
      <c r="R65" s="32">
        <f>+$R30*R$38</f>
        <v>752716</v>
      </c>
      <c r="S65" s="32">
        <f>+$R30*S$38</f>
        <v>752716</v>
      </c>
      <c r="T65" s="1"/>
      <c r="U65" s="32">
        <f>+$V30*U$38</f>
        <v>752716</v>
      </c>
      <c r="V65" s="32">
        <f>+$V30*V$38</f>
        <v>752716</v>
      </c>
      <c r="W65" s="32">
        <f>+$V30*W$38</f>
        <v>752716</v>
      </c>
      <c r="X65" s="32">
        <f>+$Z30*X$38</f>
        <v>752716</v>
      </c>
      <c r="Y65" s="32">
        <f>+$Z30*Y$38</f>
        <v>752716</v>
      </c>
      <c r="Z65" s="32">
        <f>+$Z30*Z$38</f>
        <v>752716</v>
      </c>
    </row>
    <row r="66" spans="1:26" ht="12.75">
      <c r="A66" s="1"/>
      <c r="B66" s="1" t="s">
        <v>35</v>
      </c>
      <c r="C66" s="1"/>
      <c r="D66" s="1"/>
      <c r="E66" s="32">
        <f>+E64+E65</f>
        <v>917397.6666666666</v>
      </c>
      <c r="F66" s="32">
        <f>+F64+F65</f>
        <v>917397.6666666666</v>
      </c>
      <c r="G66" s="32">
        <f>+G64+G65</f>
        <v>917397.6666666666</v>
      </c>
      <c r="H66" s="1"/>
      <c r="I66" s="32">
        <f>+I64+I65</f>
        <v>1130564</v>
      </c>
      <c r="J66" s="32">
        <f>+J64+J65</f>
        <v>1258525.72</v>
      </c>
      <c r="K66" s="32">
        <f>+K64+K65</f>
        <v>1386487.44</v>
      </c>
      <c r="L66" s="1"/>
      <c r="M66" s="32">
        <f>+M64+M65</f>
        <v>1514449.1600000001</v>
      </c>
      <c r="N66" s="32">
        <f>+N64+N65</f>
        <v>1642410.8800000001</v>
      </c>
      <c r="O66" s="32">
        <f>+O64+O65</f>
        <v>1770372.6</v>
      </c>
      <c r="P66" s="1"/>
      <c r="Q66" s="32">
        <f>+Q64+Q65</f>
        <v>1883280</v>
      </c>
      <c r="R66" s="32">
        <f>+R64+R65</f>
        <v>1883280</v>
      </c>
      <c r="S66" s="32">
        <f>+S64+S65</f>
        <v>1883280</v>
      </c>
      <c r="T66" s="1"/>
      <c r="U66" s="32">
        <f aca="true" t="shared" si="15" ref="U66:Z66">+U64+U65</f>
        <v>1883280</v>
      </c>
      <c r="V66" s="32">
        <f t="shared" si="15"/>
        <v>1883280</v>
      </c>
      <c r="W66" s="32">
        <f t="shared" si="15"/>
        <v>1883280</v>
      </c>
      <c r="X66" s="32">
        <f t="shared" si="15"/>
        <v>1883280</v>
      </c>
      <c r="Y66" s="32">
        <f t="shared" si="15"/>
        <v>1883280</v>
      </c>
      <c r="Z66" s="32">
        <f t="shared" si="15"/>
        <v>1883280</v>
      </c>
    </row>
  </sheetData>
  <printOptions headings="1"/>
  <pageMargins left="0.17" right="0.16" top="1" bottom="1" header="0.5" footer="0.5"/>
  <pageSetup fitToHeight="1" fitToWidth="1" horizontalDpi="300" verticalDpi="300" orientation="landscape" scale="53" r:id="rId1"/>
  <headerFooter alignWithMargins="0">
    <oddFooter>&amp;L&amp;F
</oddFooter>
  </headerFooter>
  <rowBreaks count="1" manualBreakCount="1">
    <brk id="3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K33"/>
  <sheetViews>
    <sheetView zoomScale="75" zoomScaleNormal="75" workbookViewId="0" topLeftCell="A1">
      <selection activeCell="R38" sqref="R38"/>
    </sheetView>
  </sheetViews>
  <sheetFormatPr defaultColWidth="9.140625" defaultRowHeight="12.75"/>
  <cols>
    <col min="1" max="1" width="13.421875" style="0" customWidth="1"/>
    <col min="2" max="2" width="17.421875" style="0" customWidth="1"/>
    <col min="6" max="6" width="10.7109375" style="0" customWidth="1"/>
    <col min="7" max="7" width="11.28125" style="0" customWidth="1"/>
    <col min="11" max="11" width="12.421875" style="0" customWidth="1"/>
  </cols>
  <sheetData>
    <row r="1" ht="12.75">
      <c r="A1" t="s">
        <v>154</v>
      </c>
    </row>
    <row r="2" ht="12.75">
      <c r="D2" s="2"/>
    </row>
    <row r="3" spans="1:9" ht="12.75">
      <c r="A3" s="9" t="s">
        <v>17</v>
      </c>
      <c r="B3" s="19" t="s">
        <v>11</v>
      </c>
      <c r="C3" s="19" t="s">
        <v>55</v>
      </c>
      <c r="D3" s="135" t="s">
        <v>12</v>
      </c>
      <c r="E3" s="140"/>
      <c r="F3" s="136"/>
      <c r="G3" s="19" t="s">
        <v>35</v>
      </c>
      <c r="H3" s="9" t="s">
        <v>29</v>
      </c>
      <c r="I3" s="9" t="s">
        <v>39</v>
      </c>
    </row>
    <row r="4" spans="1:9" ht="12.75">
      <c r="A4" s="4"/>
      <c r="B4" s="4"/>
      <c r="C4" s="4" t="s">
        <v>30</v>
      </c>
      <c r="D4" s="18" t="s">
        <v>28</v>
      </c>
      <c r="E4" s="17" t="s">
        <v>54</v>
      </c>
      <c r="F4" s="6" t="s">
        <v>48</v>
      </c>
      <c r="G4" s="4" t="s">
        <v>56</v>
      </c>
      <c r="H4" s="4" t="s">
        <v>36</v>
      </c>
      <c r="I4" s="4" t="s">
        <v>36</v>
      </c>
    </row>
    <row r="5" spans="1:9" ht="12.75">
      <c r="A5" s="10"/>
      <c r="B5" s="4"/>
      <c r="C5" s="4"/>
      <c r="D5" s="18"/>
      <c r="E5" s="17" t="s">
        <v>40</v>
      </c>
      <c r="F5" s="6" t="s">
        <v>40</v>
      </c>
      <c r="G5" s="4"/>
      <c r="H5" s="6"/>
      <c r="I5" s="10"/>
    </row>
    <row r="6" spans="1:9" ht="12.75">
      <c r="A6" s="12" t="s">
        <v>18</v>
      </c>
      <c r="B6" s="15" t="s">
        <v>24</v>
      </c>
      <c r="C6" s="30">
        <f>+I9/G6</f>
        <v>6840.521699442382</v>
      </c>
      <c r="D6" s="27">
        <f>'Credit Values'!K56</f>
        <v>1.252</v>
      </c>
      <c r="E6" s="27">
        <f>'Credit Values'!$H$36</f>
        <v>1</v>
      </c>
      <c r="F6" s="51">
        <f>'Credit Values'!K57</f>
        <v>1.504672897196262</v>
      </c>
      <c r="G6" s="51">
        <f>+D6*E6*F6</f>
        <v>1.88385046728972</v>
      </c>
      <c r="H6" s="34">
        <f>+C6*G6</f>
        <v>12886.52</v>
      </c>
      <c r="I6" s="30"/>
    </row>
    <row r="7" spans="1:9" ht="12.75">
      <c r="A7" s="14" t="s">
        <v>38</v>
      </c>
      <c r="B7" s="7" t="s">
        <v>42</v>
      </c>
      <c r="C7" s="31">
        <v>0</v>
      </c>
      <c r="D7" s="27">
        <f>'Credit Values'!$K$104</f>
        <v>1</v>
      </c>
      <c r="E7" s="27">
        <f>'Credit Values'!$H$37</f>
        <v>0.15</v>
      </c>
      <c r="F7" s="51">
        <f>'Credit Values'!$K$105</f>
        <v>1</v>
      </c>
      <c r="G7" s="51">
        <f>+D7*E7*F7</f>
        <v>0.15</v>
      </c>
      <c r="H7" s="34">
        <f>+C7*G7</f>
        <v>0</v>
      </c>
      <c r="I7" s="42"/>
    </row>
    <row r="8" spans="1:9" ht="12.75">
      <c r="A8" s="86">
        <f>Sales!W42</f>
        <v>322163</v>
      </c>
      <c r="B8" s="7" t="s">
        <v>27</v>
      </c>
      <c r="C8" s="31">
        <v>0</v>
      </c>
      <c r="D8" s="27">
        <f>'Credit Values'!K60</f>
        <v>1</v>
      </c>
      <c r="E8" s="27">
        <f>'Credit Values'!$H$36</f>
        <v>1</v>
      </c>
      <c r="F8" s="51">
        <f>'Credit Values'!K61</f>
        <v>1.3507625272331156</v>
      </c>
      <c r="G8" s="51">
        <f>+D8*E8*F8</f>
        <v>1.3507625272331156</v>
      </c>
      <c r="H8" s="34">
        <f>+C8*G8</f>
        <v>0</v>
      </c>
      <c r="I8" s="42"/>
    </row>
    <row r="9" spans="1:9" ht="12.75">
      <c r="A9" s="14"/>
      <c r="B9" s="16" t="s">
        <v>37</v>
      </c>
      <c r="C9" s="31">
        <f>+SUM(C6:C8)</f>
        <v>6840.521699442382</v>
      </c>
      <c r="D9" s="27"/>
      <c r="E9" s="27" t="s">
        <v>40</v>
      </c>
      <c r="F9" s="13"/>
      <c r="G9" s="51"/>
      <c r="H9" s="30">
        <f>+SUM(H6:H8)</f>
        <v>12886.52</v>
      </c>
      <c r="I9" s="44">
        <f>+A8*0.04</f>
        <v>12886.52</v>
      </c>
    </row>
    <row r="10" spans="1:9" ht="12.75">
      <c r="A10" s="9" t="s">
        <v>19</v>
      </c>
      <c r="B10" s="11" t="s">
        <v>34</v>
      </c>
      <c r="C10" s="32">
        <f>+I13/G10</f>
        <v>6449.975526246579</v>
      </c>
      <c r="D10" s="28">
        <f>'Credit Values'!K64</f>
        <v>1.192</v>
      </c>
      <c r="E10" s="83">
        <f>'Credit Values'!$H$36</f>
        <v>1</v>
      </c>
      <c r="F10" s="52">
        <f>'Credit Values'!K65</f>
        <v>2.2048</v>
      </c>
      <c r="G10" s="82">
        <f>+D10*E10*F10</f>
        <v>2.6281216</v>
      </c>
      <c r="H10" s="36">
        <f>+C10*G10</f>
        <v>16951.32</v>
      </c>
      <c r="I10" s="37"/>
    </row>
    <row r="11" spans="1:9" ht="12.75">
      <c r="A11" s="10" t="s">
        <v>38</v>
      </c>
      <c r="B11" s="11" t="s">
        <v>42</v>
      </c>
      <c r="C11" s="32">
        <v>0</v>
      </c>
      <c r="D11" s="83">
        <f>'Credit Values'!$K$104</f>
        <v>1</v>
      </c>
      <c r="E11" s="83">
        <f>'Credit Values'!$H$37</f>
        <v>0.15</v>
      </c>
      <c r="F11" s="82">
        <f>'Credit Values'!$K$105</f>
        <v>1</v>
      </c>
      <c r="G11" s="82">
        <f>+D11*E11*F11</f>
        <v>0.15</v>
      </c>
      <c r="H11" s="38">
        <f>+C11*G11</f>
        <v>0</v>
      </c>
      <c r="I11" s="39"/>
    </row>
    <row r="12" spans="1:9" ht="12.75">
      <c r="A12" s="87">
        <f>Sales!W46</f>
        <v>423783</v>
      </c>
      <c r="B12" s="11" t="s">
        <v>57</v>
      </c>
      <c r="C12" s="32">
        <v>0</v>
      </c>
      <c r="D12" s="28">
        <f>'Credit Values'!K68</f>
        <v>1</v>
      </c>
      <c r="E12" s="83">
        <f>'Credit Values'!$H$36</f>
        <v>1</v>
      </c>
      <c r="F12" s="52">
        <f>'Credit Values'!K69</f>
        <v>1.3500363108206248</v>
      </c>
      <c r="G12" s="82">
        <f>+D12*E12*F12</f>
        <v>1.3500363108206248</v>
      </c>
      <c r="H12" s="38">
        <f>+C12*G12</f>
        <v>0</v>
      </c>
      <c r="I12" s="39"/>
    </row>
    <row r="13" spans="1:9" ht="12.75">
      <c r="A13" s="4"/>
      <c r="B13" s="11" t="s">
        <v>37</v>
      </c>
      <c r="C13" s="32">
        <f>+SUM(C10:C12)</f>
        <v>6449.975526246579</v>
      </c>
      <c r="D13" s="28"/>
      <c r="E13" s="47" t="s">
        <v>40</v>
      </c>
      <c r="F13" s="43"/>
      <c r="G13" s="82"/>
      <c r="H13" s="40">
        <f>+SUM(H10:H12)</f>
        <v>16951.32</v>
      </c>
      <c r="I13" s="41">
        <f>+A12*0.04</f>
        <v>16951.32</v>
      </c>
    </row>
    <row r="14" spans="1:9" ht="12.75">
      <c r="A14" s="12" t="s">
        <v>20</v>
      </c>
      <c r="B14" s="7" t="s">
        <v>25</v>
      </c>
      <c r="C14" s="31">
        <f>+I17/G14</f>
        <v>4764.056312479662</v>
      </c>
      <c r="D14" s="27">
        <f>'Credit Values'!K72</f>
        <v>1.3666</v>
      </c>
      <c r="E14" s="27">
        <f>'Credit Values'!$H$36</f>
        <v>1</v>
      </c>
      <c r="F14" s="51">
        <f>'Credit Values'!K73</f>
        <v>2.8174291938997817</v>
      </c>
      <c r="G14" s="51">
        <f aca="true" t="shared" si="0" ref="G14:G20">+D14*E14*F14</f>
        <v>3.8502987363834418</v>
      </c>
      <c r="H14" s="34">
        <f>+C14*G14</f>
        <v>18343.04</v>
      </c>
      <c r="I14" s="42"/>
    </row>
    <row r="15" spans="1:10" ht="12.75">
      <c r="A15" s="14" t="s">
        <v>38</v>
      </c>
      <c r="B15" s="15" t="s">
        <v>42</v>
      </c>
      <c r="C15" s="31">
        <v>0</v>
      </c>
      <c r="D15" s="27">
        <f>'Credit Values'!$K$104</f>
        <v>1</v>
      </c>
      <c r="E15" s="27">
        <f>'Credit Values'!$H$37</f>
        <v>0.15</v>
      </c>
      <c r="F15" s="51">
        <f>'Credit Values'!$K$105</f>
        <v>1</v>
      </c>
      <c r="G15" s="51">
        <f t="shared" si="0"/>
        <v>0.15</v>
      </c>
      <c r="H15" s="34">
        <f>+C15*G15</f>
        <v>0</v>
      </c>
      <c r="I15" s="42"/>
      <c r="J15" s="23"/>
    </row>
    <row r="16" spans="1:9" ht="12.75">
      <c r="A16" s="86">
        <f>Sales!W50</f>
        <v>458576</v>
      </c>
      <c r="B16" s="7" t="s">
        <v>27</v>
      </c>
      <c r="C16" s="31">
        <v>0</v>
      </c>
      <c r="D16" s="27">
        <f>'Credit Values'!K76</f>
        <v>1</v>
      </c>
      <c r="E16" s="27">
        <f>'Credit Values'!$H$36</f>
        <v>1</v>
      </c>
      <c r="F16" s="51">
        <f>'Credit Values'!K77</f>
        <v>1.3507625272331156</v>
      </c>
      <c r="G16" s="51">
        <f t="shared" si="0"/>
        <v>1.3507625272331156</v>
      </c>
      <c r="H16" s="34">
        <f>+C16*G16</f>
        <v>0</v>
      </c>
      <c r="I16" s="42"/>
    </row>
    <row r="17" spans="1:9" ht="12.75">
      <c r="A17" s="13"/>
      <c r="B17" s="7" t="s">
        <v>37</v>
      </c>
      <c r="C17" s="31">
        <f>+SUM(C14:C16)</f>
        <v>4764.056312479662</v>
      </c>
      <c r="D17" s="27"/>
      <c r="E17" s="27"/>
      <c r="F17" s="13"/>
      <c r="G17" s="51">
        <f t="shared" si="0"/>
        <v>0</v>
      </c>
      <c r="H17" s="30">
        <f>+SUM(H14:H16)</f>
        <v>18343.04</v>
      </c>
      <c r="I17" s="42">
        <f>+A16*0.04</f>
        <v>18343.04</v>
      </c>
    </row>
    <row r="18" spans="1:9" ht="12.75">
      <c r="A18" s="9" t="s">
        <v>21</v>
      </c>
      <c r="B18" s="11" t="s">
        <v>26</v>
      </c>
      <c r="C18" s="32">
        <f>+I21/G18</f>
        <v>3210.5103080096924</v>
      </c>
      <c r="D18" s="28">
        <f>'Credit Values'!K80</f>
        <v>1.4512</v>
      </c>
      <c r="E18" s="83">
        <f>'Credit Values'!$H$36</f>
        <v>1</v>
      </c>
      <c r="F18" s="52">
        <f>'Credit Values'!K81</f>
        <v>2.0407407407407407</v>
      </c>
      <c r="G18" s="82">
        <f t="shared" si="0"/>
        <v>2.961522962962963</v>
      </c>
      <c r="H18" s="36">
        <f>+C18*G18</f>
        <v>9508</v>
      </c>
      <c r="I18" s="37"/>
    </row>
    <row r="19" spans="1:9" ht="12.75">
      <c r="A19" s="10" t="s">
        <v>38</v>
      </c>
      <c r="B19" s="11" t="s">
        <v>42</v>
      </c>
      <c r="C19" s="32">
        <v>0</v>
      </c>
      <c r="D19" s="83">
        <f>'Credit Values'!$K$104</f>
        <v>1</v>
      </c>
      <c r="E19" s="83">
        <f>'Credit Values'!$H$37</f>
        <v>0.15</v>
      </c>
      <c r="F19" s="82">
        <f>'Credit Values'!$K$105</f>
        <v>1</v>
      </c>
      <c r="G19" s="82">
        <f t="shared" si="0"/>
        <v>0.15</v>
      </c>
      <c r="H19" s="38">
        <f>+C19*G19</f>
        <v>0</v>
      </c>
      <c r="I19" s="39"/>
    </row>
    <row r="20" spans="1:9" ht="12.75">
      <c r="A20" s="87">
        <f>Sales!W54</f>
        <v>237700</v>
      </c>
      <c r="B20" s="11" t="s">
        <v>58</v>
      </c>
      <c r="C20" s="32">
        <v>0</v>
      </c>
      <c r="D20" s="28">
        <f>'Credit Values'!K84</f>
        <v>1.18</v>
      </c>
      <c r="E20" s="83">
        <f>'Credit Values'!$H$36</f>
        <v>1</v>
      </c>
      <c r="F20" s="52">
        <f>'Credit Values'!K85</f>
        <v>1.4524328249818448</v>
      </c>
      <c r="G20" s="82">
        <f t="shared" si="0"/>
        <v>1.7138707334785768</v>
      </c>
      <c r="H20" s="38">
        <f>+C20*G20</f>
        <v>0</v>
      </c>
      <c r="I20" s="39"/>
    </row>
    <row r="21" spans="1:9" ht="12.75">
      <c r="A21" s="10"/>
      <c r="B21" s="11" t="s">
        <v>37</v>
      </c>
      <c r="C21" s="32">
        <f>+SUM(C18:C20)</f>
        <v>3210.5103080096924</v>
      </c>
      <c r="D21" s="28"/>
      <c r="E21" s="83" t="s">
        <v>40</v>
      </c>
      <c r="F21" s="43"/>
      <c r="G21" s="82"/>
      <c r="H21" s="40">
        <f>+SUM(H18:H20)</f>
        <v>9508</v>
      </c>
      <c r="I21" s="41">
        <f>+A20*0.04</f>
        <v>9508</v>
      </c>
    </row>
    <row r="22" spans="1:9" ht="12.75">
      <c r="A22" s="12" t="s">
        <v>22</v>
      </c>
      <c r="B22" s="16" t="s">
        <v>6</v>
      </c>
      <c r="C22" s="31">
        <f>+I25/G22</f>
        <v>881.5305271954825</v>
      </c>
      <c r="D22" s="27">
        <f>'Credit Values'!K88</f>
        <v>1.474</v>
      </c>
      <c r="E22" s="27">
        <f>'Credit Values'!$H$36</f>
        <v>1</v>
      </c>
      <c r="F22" s="51">
        <f>'Credit Values'!K89</f>
        <v>2.859895833333333</v>
      </c>
      <c r="G22" s="51">
        <f>+D22*E22*F22</f>
        <v>4.2154864583333325</v>
      </c>
      <c r="H22" s="34">
        <f>+C22*G22</f>
        <v>3716.08</v>
      </c>
      <c r="I22" s="42"/>
    </row>
    <row r="23" spans="1:9" ht="12.75">
      <c r="A23" s="14" t="s">
        <v>38</v>
      </c>
      <c r="B23" s="16" t="s">
        <v>42</v>
      </c>
      <c r="C23" s="31">
        <v>0</v>
      </c>
      <c r="D23" s="27">
        <f>'Credit Values'!$K$104</f>
        <v>1</v>
      </c>
      <c r="E23" s="27">
        <f>'Credit Values'!$H$37</f>
        <v>0.15</v>
      </c>
      <c r="F23" s="51">
        <f>'Credit Values'!$K$105</f>
        <v>1</v>
      </c>
      <c r="G23" s="51">
        <f>+D23*E23*F23</f>
        <v>0.15</v>
      </c>
      <c r="H23" s="34">
        <f>+C23*G23</f>
        <v>0</v>
      </c>
      <c r="I23" s="42"/>
    </row>
    <row r="24" spans="1:9" ht="12.75">
      <c r="A24" s="86">
        <f>Sales!W58</f>
        <v>92902</v>
      </c>
      <c r="B24" s="7" t="s">
        <v>59</v>
      </c>
      <c r="C24" s="30">
        <v>0</v>
      </c>
      <c r="D24" s="27">
        <f>'Credit Values'!K92</f>
        <v>1.06</v>
      </c>
      <c r="E24" s="27">
        <f>'Credit Values'!$H$36</f>
        <v>1</v>
      </c>
      <c r="F24" s="51">
        <f>'Credit Values'!K93</f>
        <v>1.9480029048656502</v>
      </c>
      <c r="G24" s="51">
        <f>+D24*E24*F24</f>
        <v>2.0648830791575894</v>
      </c>
      <c r="H24" s="34">
        <f>+C24*G24</f>
        <v>0</v>
      </c>
      <c r="I24" s="42"/>
    </row>
    <row r="25" spans="1:9" ht="12.75">
      <c r="A25" s="14"/>
      <c r="B25" s="15" t="s">
        <v>37</v>
      </c>
      <c r="C25" s="30">
        <f>+SUM(C22:C24)</f>
        <v>881.5305271954825</v>
      </c>
      <c r="D25" s="27"/>
      <c r="E25" s="27" t="s">
        <v>40</v>
      </c>
      <c r="F25" s="13"/>
      <c r="G25" s="51"/>
      <c r="H25" s="30">
        <f>+SUM(H22:H24)</f>
        <v>3716.08</v>
      </c>
      <c r="I25" s="42">
        <f>+A24*0.04</f>
        <v>3716.08</v>
      </c>
    </row>
    <row r="26" spans="1:9" ht="12.75">
      <c r="A26" s="9" t="s">
        <v>23</v>
      </c>
      <c r="B26" s="11" t="s">
        <v>7</v>
      </c>
      <c r="C26" s="32">
        <f>+I29/G26</f>
        <v>3275.2138421118066</v>
      </c>
      <c r="D26" s="28">
        <f>'Credit Values'!K96</f>
        <v>1.5544000000000002</v>
      </c>
      <c r="E26" s="83">
        <f>'Credit Values'!$H$36</f>
        <v>1</v>
      </c>
      <c r="F26" s="47">
        <f>'Credit Values'!K97</f>
        <v>2.7354666666666665</v>
      </c>
      <c r="G26" s="82">
        <f>+D26*E26*F26</f>
        <v>4.252009386666667</v>
      </c>
      <c r="H26" s="36">
        <f>+C26*G26</f>
        <v>13926.24</v>
      </c>
      <c r="I26" s="37"/>
    </row>
    <row r="27" spans="1:9" ht="12.75">
      <c r="A27" s="10" t="s">
        <v>38</v>
      </c>
      <c r="B27" s="2" t="s">
        <v>42</v>
      </c>
      <c r="C27" s="32">
        <v>0</v>
      </c>
      <c r="D27" s="83">
        <f>'Credit Values'!$K$104</f>
        <v>1</v>
      </c>
      <c r="E27" s="83">
        <f>'Credit Values'!$H$37</f>
        <v>0.15</v>
      </c>
      <c r="F27" s="82">
        <f>'Credit Values'!$K$105</f>
        <v>1</v>
      </c>
      <c r="G27" s="82">
        <f>+D27*E27*F27</f>
        <v>0.15</v>
      </c>
      <c r="H27" s="38">
        <f>+C27*G27</f>
        <v>0</v>
      </c>
      <c r="I27" s="39"/>
    </row>
    <row r="28" spans="1:9" ht="12.75">
      <c r="A28" s="87">
        <f>Sales!W62</f>
        <v>348156</v>
      </c>
      <c r="B28" s="11" t="s">
        <v>60</v>
      </c>
      <c r="C28" s="32">
        <v>0</v>
      </c>
      <c r="D28" s="28">
        <f>'Credit Values'!K100</f>
        <v>1.06</v>
      </c>
      <c r="E28" s="83">
        <f>'Credit Values'!$H$36</f>
        <v>1</v>
      </c>
      <c r="F28" s="52">
        <f>'Credit Values'!K101</f>
        <v>1.8503994190268702</v>
      </c>
      <c r="G28" s="82">
        <f>+D28*E28*F28</f>
        <v>1.9614233841684825</v>
      </c>
      <c r="H28" s="38">
        <f>+C28*G28</f>
        <v>0</v>
      </c>
      <c r="I28" s="39"/>
    </row>
    <row r="29" spans="1:11" ht="12.75">
      <c r="A29" s="4"/>
      <c r="B29" s="1" t="s">
        <v>37</v>
      </c>
      <c r="C29" s="32">
        <f>+SUM(C26:C28)</f>
        <v>3275.2138421118066</v>
      </c>
      <c r="D29" s="28"/>
      <c r="E29" s="29" t="s">
        <v>40</v>
      </c>
      <c r="F29" s="43"/>
      <c r="G29" s="52"/>
      <c r="H29" s="40">
        <f>+SUM(H26:H28)</f>
        <v>13926.24</v>
      </c>
      <c r="I29" s="41">
        <f>+A28*0.04</f>
        <v>13926.24</v>
      </c>
      <c r="J29" s="105" t="s">
        <v>178</v>
      </c>
      <c r="K29" s="105" t="s">
        <v>47</v>
      </c>
    </row>
    <row r="30" spans="7:11" ht="12.75">
      <c r="G30" s="85"/>
      <c r="H30" s="33"/>
      <c r="I30" s="22"/>
      <c r="J30" s="105" t="s">
        <v>12</v>
      </c>
      <c r="K30" s="105" t="s">
        <v>179</v>
      </c>
    </row>
    <row r="31" spans="1:11" ht="12.75">
      <c r="A31" s="88">
        <f>+A28+A24+A20+A16+A12+A8</f>
        <v>1883280</v>
      </c>
      <c r="B31" s="7" t="s">
        <v>35</v>
      </c>
      <c r="C31" s="26">
        <f>+C29+C25+C21+C17+C13+C9</f>
        <v>25421.808215485602</v>
      </c>
      <c r="D31" s="25"/>
      <c r="E31" s="25"/>
      <c r="F31" s="25"/>
      <c r="G31" s="84"/>
      <c r="H31" s="26">
        <f>+H29+H25+H21+H17+H13+H9</f>
        <v>75331.2</v>
      </c>
      <c r="I31" s="26">
        <f>+I29+I25+I21+I17+I13+I9</f>
        <v>75331.2</v>
      </c>
      <c r="J31" s="106">
        <f>I31/C31</f>
        <v>2.9632510544278383</v>
      </c>
      <c r="K31" s="107">
        <f>'Fleet totals'!F19/J31</f>
        <v>0.01349868751087762</v>
      </c>
    </row>
    <row r="32" ht="12.75">
      <c r="G32" s="85"/>
    </row>
    <row r="33" spans="1:9" ht="12.75">
      <c r="A33" s="7" t="s">
        <v>126</v>
      </c>
      <c r="B33" s="7"/>
      <c r="C33" s="31">
        <f>+I33/G33</f>
        <v>24905.417142857146</v>
      </c>
      <c r="D33" s="27">
        <f>'Credit Values'!K108</f>
        <v>1.75</v>
      </c>
      <c r="E33" s="27">
        <f>'Credit Values'!$H$36</f>
        <v>1</v>
      </c>
      <c r="F33" s="84">
        <f>'Credit Values'!K109</f>
        <v>1.728395061728395</v>
      </c>
      <c r="G33" s="27">
        <f>+D33*E33*F33</f>
        <v>3.024691358024691</v>
      </c>
      <c r="H33" s="31">
        <f>+C33*G33</f>
        <v>75331.2</v>
      </c>
      <c r="I33" s="26">
        <f>+I31+I27+I23+I19+I15+I11</f>
        <v>75331.2</v>
      </c>
    </row>
  </sheetData>
  <mergeCells count="1">
    <mergeCell ref="D3:F3"/>
  </mergeCells>
  <printOptions/>
  <pageMargins left="0.75" right="0.75" top="1" bottom="1" header="0.5" footer="0.5"/>
  <pageSetup fitToHeight="1" fitToWidth="1" horizontalDpi="600" verticalDpi="600" orientation="landscape" r:id="rId4"/>
  <headerFooter alignWithMargins="0">
    <oddHeader>&amp;C&amp;"Arial,Bold"&amp;20Includes Intermediate Manufacturers</oddHeader>
  </headerFooter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K33"/>
  <sheetViews>
    <sheetView zoomScale="75" zoomScaleNormal="75" workbookViewId="0" topLeftCell="A1">
      <selection activeCell="R38" sqref="R38"/>
    </sheetView>
  </sheetViews>
  <sheetFormatPr defaultColWidth="9.140625" defaultRowHeight="12.75"/>
  <cols>
    <col min="1" max="1" width="13.421875" style="0" customWidth="1"/>
    <col min="2" max="2" width="17.421875" style="0" customWidth="1"/>
    <col min="6" max="6" width="10.7109375" style="0" customWidth="1"/>
    <col min="7" max="7" width="11.28125" style="0" customWidth="1"/>
    <col min="11" max="11" width="11.7109375" style="0" customWidth="1"/>
  </cols>
  <sheetData>
    <row r="1" ht="12.75">
      <c r="A1" t="s">
        <v>155</v>
      </c>
    </row>
    <row r="2" ht="12.75">
      <c r="D2" s="2"/>
    </row>
    <row r="3" spans="1:9" ht="12.75">
      <c r="A3" s="9" t="s">
        <v>17</v>
      </c>
      <c r="B3" s="19" t="s">
        <v>11</v>
      </c>
      <c r="C3" s="19" t="s">
        <v>55</v>
      </c>
      <c r="D3" s="135" t="s">
        <v>12</v>
      </c>
      <c r="E3" s="140"/>
      <c r="F3" s="136"/>
      <c r="G3" s="19" t="s">
        <v>35</v>
      </c>
      <c r="H3" s="9" t="s">
        <v>29</v>
      </c>
      <c r="I3" s="9" t="s">
        <v>39</v>
      </c>
    </row>
    <row r="4" spans="1:9" ht="12.75">
      <c r="A4" s="4"/>
      <c r="B4" s="4"/>
      <c r="C4" s="4" t="s">
        <v>30</v>
      </c>
      <c r="D4" s="18" t="s">
        <v>28</v>
      </c>
      <c r="E4" s="17" t="s">
        <v>54</v>
      </c>
      <c r="F4" s="6" t="s">
        <v>48</v>
      </c>
      <c r="G4" s="4" t="s">
        <v>56</v>
      </c>
      <c r="H4" s="4" t="s">
        <v>36</v>
      </c>
      <c r="I4" s="4" t="s">
        <v>36</v>
      </c>
    </row>
    <row r="5" spans="1:9" ht="12.75">
      <c r="A5" s="10"/>
      <c r="B5" s="4"/>
      <c r="C5" s="4"/>
      <c r="D5" s="18"/>
      <c r="E5" s="17" t="s">
        <v>40</v>
      </c>
      <c r="F5" s="6" t="s">
        <v>40</v>
      </c>
      <c r="G5" s="4"/>
      <c r="H5" s="6"/>
      <c r="I5" s="10"/>
    </row>
    <row r="6" spans="1:9" ht="12.75">
      <c r="A6" s="12" t="s">
        <v>18</v>
      </c>
      <c r="B6" s="15" t="s">
        <v>24</v>
      </c>
      <c r="C6" s="30">
        <f>+I9/G6</f>
        <v>8550.652124302977</v>
      </c>
      <c r="D6" s="27">
        <f>'Credit Values'!K56</f>
        <v>1.252</v>
      </c>
      <c r="E6" s="27">
        <f>'Credit Values'!$I$36</f>
        <v>1</v>
      </c>
      <c r="F6" s="51">
        <f>'Credit Values'!K57</f>
        <v>1.504672897196262</v>
      </c>
      <c r="G6" s="51">
        <f>+D6*E6*F6</f>
        <v>1.88385046728972</v>
      </c>
      <c r="H6" s="34">
        <f>+C6*G6</f>
        <v>16108.15</v>
      </c>
      <c r="I6" s="30"/>
    </row>
    <row r="7" spans="1:9" ht="12.75">
      <c r="A7" s="14" t="s">
        <v>38</v>
      </c>
      <c r="B7" s="7" t="s">
        <v>42</v>
      </c>
      <c r="C7" s="31">
        <v>0</v>
      </c>
      <c r="D7" s="27">
        <f>'Credit Values'!$K$104</f>
        <v>1</v>
      </c>
      <c r="E7" s="27">
        <f>'Credit Values'!$I$37</f>
        <v>0.15</v>
      </c>
      <c r="F7" s="51">
        <f>'Credit Values'!$K$105</f>
        <v>1</v>
      </c>
      <c r="G7" s="51">
        <f>+D7*E7*F7</f>
        <v>0.15</v>
      </c>
      <c r="H7" s="34">
        <f>+C7*G7</f>
        <v>0</v>
      </c>
      <c r="I7" s="42"/>
    </row>
    <row r="8" spans="1:9" ht="12.75">
      <c r="A8" s="86">
        <f>Sales!X42</f>
        <v>322163</v>
      </c>
      <c r="B8" s="7" t="s">
        <v>27</v>
      </c>
      <c r="C8" s="31">
        <v>0</v>
      </c>
      <c r="D8" s="27">
        <f>'Credit Values'!K60</f>
        <v>1</v>
      </c>
      <c r="E8" s="27">
        <f>'Credit Values'!$I$36</f>
        <v>1</v>
      </c>
      <c r="F8" s="51">
        <f>'Credit Values'!K61</f>
        <v>1.3507625272331156</v>
      </c>
      <c r="G8" s="51">
        <f>+D8*E8*F8</f>
        <v>1.3507625272331156</v>
      </c>
      <c r="H8" s="34">
        <f>+C8*G8</f>
        <v>0</v>
      </c>
      <c r="I8" s="42"/>
    </row>
    <row r="9" spans="1:9" ht="12.75">
      <c r="A9" s="14"/>
      <c r="B9" s="16" t="s">
        <v>37</v>
      </c>
      <c r="C9" s="31">
        <f>+SUM(C6:C8)</f>
        <v>8550.652124302977</v>
      </c>
      <c r="D9" s="27"/>
      <c r="E9" s="27" t="s">
        <v>40</v>
      </c>
      <c r="F9" s="13"/>
      <c r="G9" s="51"/>
      <c r="H9" s="30">
        <f>+SUM(H6:H8)</f>
        <v>16108.15</v>
      </c>
      <c r="I9" s="44">
        <f>+A8*0.05</f>
        <v>16108.150000000001</v>
      </c>
    </row>
    <row r="10" spans="1:9" ht="12.75">
      <c r="A10" s="9" t="s">
        <v>19</v>
      </c>
      <c r="B10" s="11" t="s">
        <v>34</v>
      </c>
      <c r="C10" s="32">
        <f>+I13/G10</f>
        <v>8062.469407808224</v>
      </c>
      <c r="D10" s="28">
        <f>'Credit Values'!K64</f>
        <v>1.192</v>
      </c>
      <c r="E10" s="83">
        <f>'Credit Values'!$I$36</f>
        <v>1</v>
      </c>
      <c r="F10" s="52">
        <f>'Credit Values'!K65</f>
        <v>2.2048</v>
      </c>
      <c r="G10" s="82">
        <f>+D10*E10*F10</f>
        <v>2.6281216</v>
      </c>
      <c r="H10" s="36">
        <f>+C10*G10</f>
        <v>21189.15</v>
      </c>
      <c r="I10" s="37"/>
    </row>
    <row r="11" spans="1:9" ht="12.75">
      <c r="A11" s="10" t="s">
        <v>38</v>
      </c>
      <c r="B11" s="11" t="s">
        <v>42</v>
      </c>
      <c r="C11" s="32">
        <v>0</v>
      </c>
      <c r="D11" s="83">
        <f>'Credit Values'!$K$104</f>
        <v>1</v>
      </c>
      <c r="E11" s="83">
        <f>'Credit Values'!$I$37</f>
        <v>0.15</v>
      </c>
      <c r="F11" s="82">
        <f>'Credit Values'!$K$105</f>
        <v>1</v>
      </c>
      <c r="G11" s="82">
        <f>+D11*E11*F11</f>
        <v>0.15</v>
      </c>
      <c r="H11" s="38">
        <f>+C11*G11</f>
        <v>0</v>
      </c>
      <c r="I11" s="39"/>
    </row>
    <row r="12" spans="1:9" ht="12.75">
      <c r="A12" s="87">
        <f>Sales!X46</f>
        <v>423783</v>
      </c>
      <c r="B12" s="11" t="s">
        <v>57</v>
      </c>
      <c r="C12" s="32">
        <v>0</v>
      </c>
      <c r="D12" s="28">
        <f>'Credit Values'!K68</f>
        <v>1</v>
      </c>
      <c r="E12" s="83">
        <f>'Credit Values'!$I$36</f>
        <v>1</v>
      </c>
      <c r="F12" s="52">
        <f>'Credit Values'!K69</f>
        <v>1.3500363108206248</v>
      </c>
      <c r="G12" s="82">
        <f>+D12*E12*F12</f>
        <v>1.3500363108206248</v>
      </c>
      <c r="H12" s="38">
        <f>+C12*G12</f>
        <v>0</v>
      </c>
      <c r="I12" s="39"/>
    </row>
    <row r="13" spans="1:9" ht="12.75">
      <c r="A13" s="4"/>
      <c r="B13" s="11" t="s">
        <v>37</v>
      </c>
      <c r="C13" s="32">
        <f>+SUM(C10:C12)</f>
        <v>8062.469407808224</v>
      </c>
      <c r="D13" s="28"/>
      <c r="E13" s="47" t="s">
        <v>40</v>
      </c>
      <c r="F13" s="43"/>
      <c r="G13" s="82"/>
      <c r="H13" s="40">
        <f>+SUM(H10:H12)</f>
        <v>21189.15</v>
      </c>
      <c r="I13" s="41">
        <f>+A12*0.05</f>
        <v>21189.15</v>
      </c>
    </row>
    <row r="14" spans="1:9" ht="12.75">
      <c r="A14" s="12" t="s">
        <v>20</v>
      </c>
      <c r="B14" s="7" t="s">
        <v>25</v>
      </c>
      <c r="C14" s="31">
        <f>+I17/G14</f>
        <v>5955.070390599578</v>
      </c>
      <c r="D14" s="27">
        <f>'Credit Values'!K72</f>
        <v>1.3666</v>
      </c>
      <c r="E14" s="27">
        <f>'Credit Values'!$I$36</f>
        <v>1</v>
      </c>
      <c r="F14" s="51">
        <f>'Credit Values'!K73</f>
        <v>2.8174291938997817</v>
      </c>
      <c r="G14" s="51">
        <f aca="true" t="shared" si="0" ref="G14:G20">+D14*E14*F14</f>
        <v>3.8502987363834418</v>
      </c>
      <c r="H14" s="34">
        <f>+C14*G14</f>
        <v>22928.800000000003</v>
      </c>
      <c r="I14" s="42"/>
    </row>
    <row r="15" spans="1:10" ht="12.75">
      <c r="A15" s="14" t="s">
        <v>38</v>
      </c>
      <c r="B15" s="15" t="s">
        <v>42</v>
      </c>
      <c r="C15" s="31">
        <v>0</v>
      </c>
      <c r="D15" s="27">
        <f>'Credit Values'!$K$104</f>
        <v>1</v>
      </c>
      <c r="E15" s="27">
        <f>'Credit Values'!$I$37</f>
        <v>0.15</v>
      </c>
      <c r="F15" s="51">
        <f>'Credit Values'!$K$105</f>
        <v>1</v>
      </c>
      <c r="G15" s="51">
        <f t="shared" si="0"/>
        <v>0.15</v>
      </c>
      <c r="H15" s="34">
        <f>+C15*G15</f>
        <v>0</v>
      </c>
      <c r="I15" s="42"/>
      <c r="J15" s="23"/>
    </row>
    <row r="16" spans="1:9" ht="12.75">
      <c r="A16" s="86">
        <f>Sales!X50</f>
        <v>458576</v>
      </c>
      <c r="B16" s="7" t="s">
        <v>27</v>
      </c>
      <c r="C16" s="31">
        <v>0</v>
      </c>
      <c r="D16" s="27">
        <f>'Credit Values'!K76</f>
        <v>1</v>
      </c>
      <c r="E16" s="27">
        <f>'Credit Values'!$I$36</f>
        <v>1</v>
      </c>
      <c r="F16" s="51">
        <f>'Credit Values'!K77</f>
        <v>1.3507625272331156</v>
      </c>
      <c r="G16" s="51">
        <f t="shared" si="0"/>
        <v>1.3507625272331156</v>
      </c>
      <c r="H16" s="34">
        <f>+C16*G16</f>
        <v>0</v>
      </c>
      <c r="I16" s="42"/>
    </row>
    <row r="17" spans="1:9" ht="12.75">
      <c r="A17" s="13"/>
      <c r="B17" s="7" t="s">
        <v>37</v>
      </c>
      <c r="C17" s="31">
        <f>+SUM(C14:C16)</f>
        <v>5955.070390599578</v>
      </c>
      <c r="D17" s="27"/>
      <c r="E17" s="27"/>
      <c r="F17" s="13"/>
      <c r="G17" s="51">
        <f t="shared" si="0"/>
        <v>0</v>
      </c>
      <c r="H17" s="30">
        <f>+SUM(H14:H16)</f>
        <v>22928.800000000003</v>
      </c>
      <c r="I17" s="42">
        <f>+A16*0.05</f>
        <v>22928.800000000003</v>
      </c>
    </row>
    <row r="18" spans="1:9" ht="12.75">
      <c r="A18" s="9" t="s">
        <v>21</v>
      </c>
      <c r="B18" s="11" t="s">
        <v>26</v>
      </c>
      <c r="C18" s="32">
        <f>+I21/G18</f>
        <v>4013.1378850121155</v>
      </c>
      <c r="D18" s="28">
        <f>'Credit Values'!K80</f>
        <v>1.4512</v>
      </c>
      <c r="E18" s="83">
        <f>'Credit Values'!$I$36</f>
        <v>1</v>
      </c>
      <c r="F18" s="52">
        <f>'Credit Values'!K81</f>
        <v>2.0407407407407407</v>
      </c>
      <c r="G18" s="82">
        <f t="shared" si="0"/>
        <v>2.961522962962963</v>
      </c>
      <c r="H18" s="36">
        <f>+C18*G18</f>
        <v>11885</v>
      </c>
      <c r="I18" s="37"/>
    </row>
    <row r="19" spans="1:9" ht="12.75">
      <c r="A19" s="10" t="s">
        <v>38</v>
      </c>
      <c r="B19" s="11" t="s">
        <v>42</v>
      </c>
      <c r="C19" s="32">
        <v>0</v>
      </c>
      <c r="D19" s="83">
        <f>'Credit Values'!$K$104</f>
        <v>1</v>
      </c>
      <c r="E19" s="83">
        <f>'Credit Values'!$I$37</f>
        <v>0.15</v>
      </c>
      <c r="F19" s="82">
        <f>'Credit Values'!$K$105</f>
        <v>1</v>
      </c>
      <c r="G19" s="82">
        <f t="shared" si="0"/>
        <v>0.15</v>
      </c>
      <c r="H19" s="38">
        <f>+C19*G19</f>
        <v>0</v>
      </c>
      <c r="I19" s="39"/>
    </row>
    <row r="20" spans="1:9" ht="12.75">
      <c r="A20" s="87">
        <f>Sales!X54</f>
        <v>237700</v>
      </c>
      <c r="B20" s="11" t="s">
        <v>58</v>
      </c>
      <c r="C20" s="32">
        <v>0</v>
      </c>
      <c r="D20" s="28">
        <f>'Credit Values'!K84</f>
        <v>1.18</v>
      </c>
      <c r="E20" s="83">
        <f>'Credit Values'!$I$36</f>
        <v>1</v>
      </c>
      <c r="F20" s="52">
        <f>'Credit Values'!K85</f>
        <v>1.4524328249818448</v>
      </c>
      <c r="G20" s="82">
        <f t="shared" si="0"/>
        <v>1.7138707334785768</v>
      </c>
      <c r="H20" s="38">
        <f>+C20*G20</f>
        <v>0</v>
      </c>
      <c r="I20" s="39"/>
    </row>
    <row r="21" spans="1:9" ht="12.75">
      <c r="A21" s="10"/>
      <c r="B21" s="11" t="s">
        <v>37</v>
      </c>
      <c r="C21" s="32">
        <f>+SUM(C18:C20)</f>
        <v>4013.1378850121155</v>
      </c>
      <c r="D21" s="28"/>
      <c r="E21" s="47" t="s">
        <v>40</v>
      </c>
      <c r="F21" s="43"/>
      <c r="G21" s="82"/>
      <c r="H21" s="40">
        <f>+SUM(H18:H20)</f>
        <v>11885</v>
      </c>
      <c r="I21" s="41">
        <f>+A20*0.05</f>
        <v>11885</v>
      </c>
    </row>
    <row r="22" spans="1:9" ht="12.75">
      <c r="A22" s="12" t="s">
        <v>22</v>
      </c>
      <c r="B22" s="16" t="s">
        <v>6</v>
      </c>
      <c r="C22" s="31">
        <f>+I25/G22</f>
        <v>1101.9131589943531</v>
      </c>
      <c r="D22" s="27">
        <f>'Credit Values'!K88</f>
        <v>1.474</v>
      </c>
      <c r="E22" s="27">
        <f>'Credit Values'!$I$36</f>
        <v>1</v>
      </c>
      <c r="F22" s="51">
        <f>'Credit Values'!K89</f>
        <v>2.859895833333333</v>
      </c>
      <c r="G22" s="51">
        <f>+D22*E22*F22</f>
        <v>4.2154864583333325</v>
      </c>
      <c r="H22" s="34">
        <f>+C22*G22</f>
        <v>4645.1</v>
      </c>
      <c r="I22" s="42"/>
    </row>
    <row r="23" spans="1:9" ht="12.75">
      <c r="A23" s="14" t="s">
        <v>38</v>
      </c>
      <c r="B23" s="16" t="s">
        <v>42</v>
      </c>
      <c r="C23" s="31">
        <v>0</v>
      </c>
      <c r="D23" s="27">
        <f>'Credit Values'!$K$104</f>
        <v>1</v>
      </c>
      <c r="E23" s="27">
        <f>'Credit Values'!$I$37</f>
        <v>0.15</v>
      </c>
      <c r="F23" s="51">
        <f>'Credit Values'!$K$105</f>
        <v>1</v>
      </c>
      <c r="G23" s="51">
        <f>+D23*E23*F23</f>
        <v>0.15</v>
      </c>
      <c r="H23" s="34">
        <f>+C23*G23</f>
        <v>0</v>
      </c>
      <c r="I23" s="42"/>
    </row>
    <row r="24" spans="1:9" ht="12.75">
      <c r="A24" s="86">
        <f>Sales!X58</f>
        <v>92902</v>
      </c>
      <c r="B24" s="7" t="s">
        <v>59</v>
      </c>
      <c r="C24" s="30">
        <v>0</v>
      </c>
      <c r="D24" s="27">
        <f>'Credit Values'!K92</f>
        <v>1.06</v>
      </c>
      <c r="E24" s="27">
        <f>'Credit Values'!$I$36</f>
        <v>1</v>
      </c>
      <c r="F24" s="51">
        <f>'Credit Values'!K93</f>
        <v>1.9480029048656502</v>
      </c>
      <c r="G24" s="51">
        <f>+D24*E24*F24</f>
        <v>2.0648830791575894</v>
      </c>
      <c r="H24" s="34">
        <f>+C24*G24</f>
        <v>0</v>
      </c>
      <c r="I24" s="42"/>
    </row>
    <row r="25" spans="1:9" ht="12.75">
      <c r="A25" s="14"/>
      <c r="B25" s="15" t="s">
        <v>37</v>
      </c>
      <c r="C25" s="30">
        <f>+SUM(C22:C24)</f>
        <v>1101.9131589943531</v>
      </c>
      <c r="D25" s="27"/>
      <c r="E25" s="27" t="s">
        <v>40</v>
      </c>
      <c r="F25" s="13"/>
      <c r="G25" s="51"/>
      <c r="H25" s="30">
        <f>+SUM(H22:H24)</f>
        <v>4645.1</v>
      </c>
      <c r="I25" s="42">
        <f>+A24*0.05</f>
        <v>4645.1</v>
      </c>
    </row>
    <row r="26" spans="1:9" ht="12.75">
      <c r="A26" s="9" t="s">
        <v>23</v>
      </c>
      <c r="B26" s="11" t="s">
        <v>7</v>
      </c>
      <c r="C26" s="32">
        <f>+I29/G26</f>
        <v>4094.017302639758</v>
      </c>
      <c r="D26" s="28">
        <f>'Credit Values'!K96</f>
        <v>1.5544000000000002</v>
      </c>
      <c r="E26" s="83">
        <f>'Credit Values'!$I$36</f>
        <v>1</v>
      </c>
      <c r="F26" s="47">
        <f>'Credit Values'!K97</f>
        <v>2.7354666666666665</v>
      </c>
      <c r="G26" s="82">
        <f>+D26*E26*F26</f>
        <v>4.252009386666667</v>
      </c>
      <c r="H26" s="36">
        <f>+C26*G26</f>
        <v>17407.8</v>
      </c>
      <c r="I26" s="37"/>
    </row>
    <row r="27" spans="1:9" ht="12.75">
      <c r="A27" s="10" t="s">
        <v>38</v>
      </c>
      <c r="B27" s="2" t="s">
        <v>42</v>
      </c>
      <c r="C27" s="32">
        <v>0</v>
      </c>
      <c r="D27" s="83">
        <f>'Credit Values'!$K$104</f>
        <v>1</v>
      </c>
      <c r="E27" s="83">
        <f>'Credit Values'!$I$37</f>
        <v>0.15</v>
      </c>
      <c r="F27" s="82">
        <f>'Credit Values'!$K$105</f>
        <v>1</v>
      </c>
      <c r="G27" s="82">
        <f>+D27*E27*F27</f>
        <v>0.15</v>
      </c>
      <c r="H27" s="38">
        <f>+C27*G27</f>
        <v>0</v>
      </c>
      <c r="I27" s="39"/>
    </row>
    <row r="28" spans="1:9" ht="12.75">
      <c r="A28" s="87">
        <f>Sales!X62</f>
        <v>348156</v>
      </c>
      <c r="B28" s="11" t="s">
        <v>60</v>
      </c>
      <c r="C28" s="32">
        <v>0</v>
      </c>
      <c r="D28" s="28">
        <f>'Credit Values'!K100</f>
        <v>1.06</v>
      </c>
      <c r="E28" s="83">
        <f>'Credit Values'!$I$36</f>
        <v>1</v>
      </c>
      <c r="F28" s="52">
        <f>'Credit Values'!K101</f>
        <v>1.8503994190268702</v>
      </c>
      <c r="G28" s="82">
        <f>+D28*E28*F28</f>
        <v>1.9614233841684825</v>
      </c>
      <c r="H28" s="38">
        <f>+C28*G28</f>
        <v>0</v>
      </c>
      <c r="I28" s="39"/>
    </row>
    <row r="29" spans="1:11" ht="12.75">
      <c r="A29" s="4"/>
      <c r="B29" s="1" t="s">
        <v>37</v>
      </c>
      <c r="C29" s="32">
        <f>+SUM(C26:C28)</f>
        <v>4094.017302639758</v>
      </c>
      <c r="D29" s="28"/>
      <c r="E29" s="29" t="s">
        <v>40</v>
      </c>
      <c r="F29" s="43"/>
      <c r="G29" s="52"/>
      <c r="H29" s="40">
        <f>+SUM(H26:H28)</f>
        <v>17407.8</v>
      </c>
      <c r="I29" s="41">
        <f>+A28*0.05</f>
        <v>17407.8</v>
      </c>
      <c r="J29" s="105" t="s">
        <v>178</v>
      </c>
      <c r="K29" s="105" t="s">
        <v>47</v>
      </c>
    </row>
    <row r="30" spans="7:11" ht="12.75">
      <c r="G30" s="85"/>
      <c r="H30" s="33"/>
      <c r="I30" s="22"/>
      <c r="J30" s="105" t="s">
        <v>12</v>
      </c>
      <c r="K30" s="105" t="s">
        <v>179</v>
      </c>
    </row>
    <row r="31" spans="1:11" ht="12.75">
      <c r="A31" s="88">
        <f>+A28+A24+A20+A16+A12+A8</f>
        <v>1883280</v>
      </c>
      <c r="B31" s="7" t="s">
        <v>35</v>
      </c>
      <c r="C31" s="26">
        <f>+C29+C25+C21+C17+C13+C9</f>
        <v>31777.260269357</v>
      </c>
      <c r="D31" s="25"/>
      <c r="E31" s="25"/>
      <c r="F31" s="25"/>
      <c r="G31" s="84"/>
      <c r="H31" s="26">
        <f>+H29+H25+H21+H17+H13+H9</f>
        <v>94164</v>
      </c>
      <c r="I31" s="26">
        <f>+I29+I25+I21+I17+I13+I9</f>
        <v>94164</v>
      </c>
      <c r="J31" s="106">
        <f>I31/C31</f>
        <v>2.9632510544278388</v>
      </c>
      <c r="K31" s="107">
        <f>'Fleet totals'!F20/J31</f>
        <v>0.016873359388597024</v>
      </c>
    </row>
    <row r="32" ht="12.75">
      <c r="G32" s="85"/>
    </row>
    <row r="33" spans="1:9" ht="12.75">
      <c r="A33" s="7" t="s">
        <v>126</v>
      </c>
      <c r="B33" s="7"/>
      <c r="C33" s="31">
        <f>+I33/G33</f>
        <v>31131.771428571432</v>
      </c>
      <c r="D33" s="27">
        <f>'Credit Values'!K108</f>
        <v>1.75</v>
      </c>
      <c r="E33" s="27">
        <f>'Credit Values'!$I$36</f>
        <v>1</v>
      </c>
      <c r="F33" s="84">
        <f>'Credit Values'!K109</f>
        <v>1.728395061728395</v>
      </c>
      <c r="G33" s="27">
        <f>+D33*E33*F33</f>
        <v>3.024691358024691</v>
      </c>
      <c r="H33" s="31">
        <f>+C33*G33</f>
        <v>94164</v>
      </c>
      <c r="I33" s="26">
        <f>+I31+I27+I23+I19+I15+I11</f>
        <v>94164</v>
      </c>
    </row>
  </sheetData>
  <mergeCells count="1">
    <mergeCell ref="D3:F3"/>
  </mergeCells>
  <printOptions/>
  <pageMargins left="0.75" right="0.75" top="1" bottom="1" header="0.5" footer="0.5"/>
  <pageSetup fitToHeight="1" fitToWidth="1" horizontalDpi="600" verticalDpi="600" orientation="landscape" r:id="rId4"/>
  <headerFooter alignWithMargins="0">
    <oddHeader>&amp;C&amp;"Arial,Bold"&amp;20Includes Intermediate Manufacturers</oddHeader>
  </headerFooter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K33"/>
  <sheetViews>
    <sheetView zoomScale="75" zoomScaleNormal="75" workbookViewId="0" topLeftCell="A1">
      <selection activeCell="R38" sqref="R38"/>
    </sheetView>
  </sheetViews>
  <sheetFormatPr defaultColWidth="9.140625" defaultRowHeight="12.75"/>
  <cols>
    <col min="1" max="1" width="13.421875" style="0" customWidth="1"/>
    <col min="2" max="2" width="17.421875" style="0" customWidth="1"/>
    <col min="6" max="6" width="10.7109375" style="0" customWidth="1"/>
    <col min="7" max="7" width="11.28125" style="0" customWidth="1"/>
    <col min="11" max="11" width="12.28125" style="0" customWidth="1"/>
  </cols>
  <sheetData>
    <row r="1" ht="12.75">
      <c r="A1" t="s">
        <v>156</v>
      </c>
    </row>
    <row r="2" ht="12.75">
      <c r="D2" s="2"/>
    </row>
    <row r="3" spans="1:9" ht="12.75">
      <c r="A3" s="9" t="s">
        <v>17</v>
      </c>
      <c r="B3" s="19" t="s">
        <v>11</v>
      </c>
      <c r="C3" s="19" t="s">
        <v>55</v>
      </c>
      <c r="D3" s="135" t="s">
        <v>12</v>
      </c>
      <c r="E3" s="140"/>
      <c r="F3" s="136"/>
      <c r="G3" s="19" t="s">
        <v>35</v>
      </c>
      <c r="H3" s="9" t="s">
        <v>29</v>
      </c>
      <c r="I3" s="9" t="s">
        <v>39</v>
      </c>
    </row>
    <row r="4" spans="1:9" ht="12.75">
      <c r="A4" s="4"/>
      <c r="B4" s="4"/>
      <c r="C4" s="4" t="s">
        <v>30</v>
      </c>
      <c r="D4" s="18" t="s">
        <v>28</v>
      </c>
      <c r="E4" s="17" t="s">
        <v>54</v>
      </c>
      <c r="F4" s="6" t="s">
        <v>48</v>
      </c>
      <c r="G4" s="4" t="s">
        <v>56</v>
      </c>
      <c r="H4" s="4" t="s">
        <v>36</v>
      </c>
      <c r="I4" s="4" t="s">
        <v>36</v>
      </c>
    </row>
    <row r="5" spans="1:9" ht="12.75">
      <c r="A5" s="10"/>
      <c r="B5" s="4"/>
      <c r="C5" s="4"/>
      <c r="D5" s="18"/>
      <c r="E5" s="17" t="s">
        <v>40</v>
      </c>
      <c r="F5" s="6" t="s">
        <v>40</v>
      </c>
      <c r="G5" s="4"/>
      <c r="H5" s="6"/>
      <c r="I5" s="10"/>
    </row>
    <row r="6" spans="1:9" ht="12.75">
      <c r="A6" s="12" t="s">
        <v>18</v>
      </c>
      <c r="B6" s="15" t="s">
        <v>24</v>
      </c>
      <c r="C6" s="30">
        <f>+I9/G6</f>
        <v>8550.652124302977</v>
      </c>
      <c r="D6" s="27">
        <f>'Credit Values'!K56</f>
        <v>1.252</v>
      </c>
      <c r="E6" s="27">
        <f>'Credit Values'!$J$36</f>
        <v>1</v>
      </c>
      <c r="F6" s="51">
        <f>'Credit Values'!K57</f>
        <v>1.504672897196262</v>
      </c>
      <c r="G6" s="51">
        <f>+D6*E6*F6</f>
        <v>1.88385046728972</v>
      </c>
      <c r="H6" s="34">
        <f>+C6*G6</f>
        <v>16108.15</v>
      </c>
      <c r="I6" s="30"/>
    </row>
    <row r="7" spans="1:9" ht="12.75">
      <c r="A7" s="14" t="s">
        <v>38</v>
      </c>
      <c r="B7" s="7" t="s">
        <v>42</v>
      </c>
      <c r="C7" s="31">
        <v>0</v>
      </c>
      <c r="D7" s="27">
        <f>'Credit Values'!$K$104</f>
        <v>1</v>
      </c>
      <c r="E7" s="27">
        <f>'Credit Values'!$J$37</f>
        <v>0.15</v>
      </c>
      <c r="F7" s="51">
        <f>'Credit Values'!$K$105</f>
        <v>1</v>
      </c>
      <c r="G7" s="51">
        <f>+D7*E7*F7</f>
        <v>0.15</v>
      </c>
      <c r="H7" s="34">
        <f>+C7*G7</f>
        <v>0</v>
      </c>
      <c r="I7" s="42"/>
    </row>
    <row r="8" spans="1:9" ht="12.75">
      <c r="A8" s="86">
        <f>Sales!Y42</f>
        <v>322163</v>
      </c>
      <c r="B8" s="7" t="s">
        <v>27</v>
      </c>
      <c r="C8" s="31">
        <v>0</v>
      </c>
      <c r="D8" s="27">
        <f>'Credit Values'!K60</f>
        <v>1</v>
      </c>
      <c r="E8" s="27">
        <f>'Credit Values'!$J$30</f>
        <v>1</v>
      </c>
      <c r="F8" s="51">
        <f>'Credit Values'!K61</f>
        <v>1.3507625272331156</v>
      </c>
      <c r="G8" s="51">
        <f>+D8*E8*F8</f>
        <v>1.3507625272331156</v>
      </c>
      <c r="H8" s="34">
        <f>+C8*G8</f>
        <v>0</v>
      </c>
      <c r="I8" s="42"/>
    </row>
    <row r="9" spans="1:9" ht="12.75">
      <c r="A9" s="14"/>
      <c r="B9" s="16" t="s">
        <v>37</v>
      </c>
      <c r="C9" s="31">
        <f>+SUM(C6:C8)</f>
        <v>8550.652124302977</v>
      </c>
      <c r="D9" s="27"/>
      <c r="E9" s="27" t="s">
        <v>40</v>
      </c>
      <c r="F9" s="13"/>
      <c r="G9" s="51"/>
      <c r="H9" s="30">
        <f>+SUM(H6:H8)</f>
        <v>16108.15</v>
      </c>
      <c r="I9" s="44">
        <f>+A8*0.05</f>
        <v>16108.150000000001</v>
      </c>
    </row>
    <row r="10" spans="1:9" ht="12.75">
      <c r="A10" s="9" t="s">
        <v>19</v>
      </c>
      <c r="B10" s="11" t="s">
        <v>34</v>
      </c>
      <c r="C10" s="32">
        <f>+I13/G10</f>
        <v>8062.469407808224</v>
      </c>
      <c r="D10" s="28">
        <f>'Credit Values'!K64</f>
        <v>1.192</v>
      </c>
      <c r="E10" s="83">
        <f>'Credit Values'!$J$36</f>
        <v>1</v>
      </c>
      <c r="F10" s="52">
        <f>'Credit Values'!K65</f>
        <v>2.2048</v>
      </c>
      <c r="G10" s="82">
        <f>+D10*E10*F10</f>
        <v>2.6281216</v>
      </c>
      <c r="H10" s="36">
        <f>+C10*G10</f>
        <v>21189.15</v>
      </c>
      <c r="I10" s="37"/>
    </row>
    <row r="11" spans="1:9" ht="12.75">
      <c r="A11" s="10" t="s">
        <v>38</v>
      </c>
      <c r="B11" s="11" t="s">
        <v>42</v>
      </c>
      <c r="C11" s="32">
        <v>0</v>
      </c>
      <c r="D11" s="83">
        <f>'Credit Values'!$K$104</f>
        <v>1</v>
      </c>
      <c r="E11" s="83">
        <f>'Credit Values'!$J$37</f>
        <v>0.15</v>
      </c>
      <c r="F11" s="82">
        <f>'Credit Values'!$K$105</f>
        <v>1</v>
      </c>
      <c r="G11" s="82">
        <f>+D11*E11*F11</f>
        <v>0.15</v>
      </c>
      <c r="H11" s="38">
        <f>+C11*G11</f>
        <v>0</v>
      </c>
      <c r="I11" s="39"/>
    </row>
    <row r="12" spans="1:9" ht="12.75">
      <c r="A12" s="87">
        <f>Sales!Y46</f>
        <v>423783</v>
      </c>
      <c r="B12" s="11" t="s">
        <v>57</v>
      </c>
      <c r="C12" s="32">
        <v>0</v>
      </c>
      <c r="D12" s="28">
        <f>'Credit Values'!K68</f>
        <v>1</v>
      </c>
      <c r="E12" s="83">
        <f>'Credit Values'!$J$30</f>
        <v>1</v>
      </c>
      <c r="F12" s="52">
        <f>'Credit Values'!K69</f>
        <v>1.3500363108206248</v>
      </c>
      <c r="G12" s="82">
        <f>+D12*E12*F12</f>
        <v>1.3500363108206248</v>
      </c>
      <c r="H12" s="38">
        <f>+C12*G12</f>
        <v>0</v>
      </c>
      <c r="I12" s="39"/>
    </row>
    <row r="13" spans="1:9" ht="12.75">
      <c r="A13" s="4"/>
      <c r="B13" s="11" t="s">
        <v>37</v>
      </c>
      <c r="C13" s="32">
        <f>+SUM(C10:C12)</f>
        <v>8062.469407808224</v>
      </c>
      <c r="D13" s="28"/>
      <c r="E13" s="47" t="s">
        <v>40</v>
      </c>
      <c r="F13" s="43"/>
      <c r="G13" s="82"/>
      <c r="H13" s="40">
        <f>+SUM(H10:H12)</f>
        <v>21189.15</v>
      </c>
      <c r="I13" s="41">
        <f>+A12*0.05</f>
        <v>21189.15</v>
      </c>
    </row>
    <row r="14" spans="1:9" ht="12.75">
      <c r="A14" s="12" t="s">
        <v>20</v>
      </c>
      <c r="B14" s="7" t="s">
        <v>25</v>
      </c>
      <c r="C14" s="31">
        <f>+I17/G14</f>
        <v>5955.070390599578</v>
      </c>
      <c r="D14" s="27">
        <f>'Credit Values'!K72</f>
        <v>1.3666</v>
      </c>
      <c r="E14" s="27">
        <f>'Credit Values'!$J$36</f>
        <v>1</v>
      </c>
      <c r="F14" s="51">
        <f>'Credit Values'!K73</f>
        <v>2.8174291938997817</v>
      </c>
      <c r="G14" s="51">
        <f aca="true" t="shared" si="0" ref="G14:G20">+D14*E14*F14</f>
        <v>3.8502987363834418</v>
      </c>
      <c r="H14" s="34">
        <f>+C14*G14</f>
        <v>22928.800000000003</v>
      </c>
      <c r="I14" s="42"/>
    </row>
    <row r="15" spans="1:10" ht="12.75">
      <c r="A15" s="14" t="s">
        <v>38</v>
      </c>
      <c r="B15" s="15" t="s">
        <v>42</v>
      </c>
      <c r="C15" s="31">
        <v>0</v>
      </c>
      <c r="D15" s="27">
        <f>'Credit Values'!$K$104</f>
        <v>1</v>
      </c>
      <c r="E15" s="27">
        <f>'Credit Values'!$J$37</f>
        <v>0.15</v>
      </c>
      <c r="F15" s="51">
        <f>'Credit Values'!$K$105</f>
        <v>1</v>
      </c>
      <c r="G15" s="51">
        <f t="shared" si="0"/>
        <v>0.15</v>
      </c>
      <c r="H15" s="34">
        <f>+C15*G15</f>
        <v>0</v>
      </c>
      <c r="I15" s="42"/>
      <c r="J15" s="23"/>
    </row>
    <row r="16" spans="1:9" ht="12.75">
      <c r="A16" s="86">
        <f>Sales!Y50</f>
        <v>458576</v>
      </c>
      <c r="B16" s="7" t="s">
        <v>27</v>
      </c>
      <c r="C16" s="31">
        <v>0</v>
      </c>
      <c r="D16" s="27">
        <f>'Credit Values'!K76</f>
        <v>1</v>
      </c>
      <c r="E16" s="27">
        <f>'Credit Values'!$J$30</f>
        <v>1</v>
      </c>
      <c r="F16" s="51">
        <f>'Credit Values'!K77</f>
        <v>1.3507625272331156</v>
      </c>
      <c r="G16" s="51">
        <f t="shared" si="0"/>
        <v>1.3507625272331156</v>
      </c>
      <c r="H16" s="34">
        <f>+C16*G16</f>
        <v>0</v>
      </c>
      <c r="I16" s="42"/>
    </row>
    <row r="17" spans="1:9" ht="12.75">
      <c r="A17" s="13"/>
      <c r="B17" s="7" t="s">
        <v>37</v>
      </c>
      <c r="C17" s="31">
        <f>+SUM(C14:C16)</f>
        <v>5955.070390599578</v>
      </c>
      <c r="D17" s="27"/>
      <c r="E17" s="27"/>
      <c r="F17" s="13"/>
      <c r="G17" s="51">
        <f t="shared" si="0"/>
        <v>0</v>
      </c>
      <c r="H17" s="30">
        <f>+SUM(H14:H16)</f>
        <v>22928.800000000003</v>
      </c>
      <c r="I17" s="42">
        <f>+A16*0.05</f>
        <v>22928.800000000003</v>
      </c>
    </row>
    <row r="18" spans="1:9" ht="12.75">
      <c r="A18" s="9" t="s">
        <v>21</v>
      </c>
      <c r="B18" s="11" t="s">
        <v>26</v>
      </c>
      <c r="C18" s="32">
        <f>+I21/G18</f>
        <v>4013.1378850121155</v>
      </c>
      <c r="D18" s="28">
        <f>'Credit Values'!K80</f>
        <v>1.4512</v>
      </c>
      <c r="E18" s="83">
        <f>'Credit Values'!$J$36</f>
        <v>1</v>
      </c>
      <c r="F18" s="52">
        <f>'Credit Values'!K81</f>
        <v>2.0407407407407407</v>
      </c>
      <c r="G18" s="82">
        <f t="shared" si="0"/>
        <v>2.961522962962963</v>
      </c>
      <c r="H18" s="36">
        <f>+C18*G18</f>
        <v>11885</v>
      </c>
      <c r="I18" s="37"/>
    </row>
    <row r="19" spans="1:9" ht="12.75">
      <c r="A19" s="10" t="s">
        <v>38</v>
      </c>
      <c r="B19" s="11" t="s">
        <v>42</v>
      </c>
      <c r="C19" s="32">
        <v>0</v>
      </c>
      <c r="D19" s="83">
        <f>'Credit Values'!$K$104</f>
        <v>1</v>
      </c>
      <c r="E19" s="83">
        <f>'Credit Values'!$J$37</f>
        <v>0.15</v>
      </c>
      <c r="F19" s="82">
        <f>'Credit Values'!$K$105</f>
        <v>1</v>
      </c>
      <c r="G19" s="82">
        <f t="shared" si="0"/>
        <v>0.15</v>
      </c>
      <c r="H19" s="38">
        <f>+C19*G19</f>
        <v>0</v>
      </c>
      <c r="I19" s="39"/>
    </row>
    <row r="20" spans="1:9" ht="12.75">
      <c r="A20" s="87">
        <f>Sales!Y54</f>
        <v>237700</v>
      </c>
      <c r="B20" s="11" t="s">
        <v>58</v>
      </c>
      <c r="C20" s="32">
        <v>0</v>
      </c>
      <c r="D20" s="28">
        <f>'Credit Values'!K84</f>
        <v>1.18</v>
      </c>
      <c r="E20" s="83">
        <f>'Credit Values'!$J$30</f>
        <v>1</v>
      </c>
      <c r="F20" s="52">
        <f>'Credit Values'!K85</f>
        <v>1.4524328249818448</v>
      </c>
      <c r="G20" s="82">
        <f t="shared" si="0"/>
        <v>1.7138707334785768</v>
      </c>
      <c r="H20" s="38">
        <f>+C20*G20</f>
        <v>0</v>
      </c>
      <c r="I20" s="39"/>
    </row>
    <row r="21" spans="1:9" ht="12.75">
      <c r="A21" s="10"/>
      <c r="B21" s="11" t="s">
        <v>37</v>
      </c>
      <c r="C21" s="32">
        <f>+SUM(C18:C20)</f>
        <v>4013.1378850121155</v>
      </c>
      <c r="D21" s="28"/>
      <c r="E21" s="47" t="s">
        <v>40</v>
      </c>
      <c r="F21" s="43"/>
      <c r="G21" s="82"/>
      <c r="H21" s="40">
        <f>+SUM(H18:H20)</f>
        <v>11885</v>
      </c>
      <c r="I21" s="41">
        <f>+A20*0.05</f>
        <v>11885</v>
      </c>
    </row>
    <row r="22" spans="1:9" ht="12.75">
      <c r="A22" s="12" t="s">
        <v>22</v>
      </c>
      <c r="B22" s="16" t="s">
        <v>6</v>
      </c>
      <c r="C22" s="31">
        <f>+I25/G22</f>
        <v>1101.9131589943531</v>
      </c>
      <c r="D22" s="27">
        <f>'Credit Values'!K88</f>
        <v>1.474</v>
      </c>
      <c r="E22" s="27">
        <f>'Credit Values'!$J$36</f>
        <v>1</v>
      </c>
      <c r="F22" s="51">
        <f>'Credit Values'!K89</f>
        <v>2.859895833333333</v>
      </c>
      <c r="G22" s="51">
        <f>+D22*E22*F22</f>
        <v>4.2154864583333325</v>
      </c>
      <c r="H22" s="34">
        <f>+C22*G22</f>
        <v>4645.1</v>
      </c>
      <c r="I22" s="42"/>
    </row>
    <row r="23" spans="1:9" ht="12.75">
      <c r="A23" s="14" t="s">
        <v>38</v>
      </c>
      <c r="B23" s="16" t="s">
        <v>42</v>
      </c>
      <c r="C23" s="31">
        <v>0</v>
      </c>
      <c r="D23" s="27">
        <f>'Credit Values'!$K$104</f>
        <v>1</v>
      </c>
      <c r="E23" s="27">
        <f>'Credit Values'!$J$37</f>
        <v>0.15</v>
      </c>
      <c r="F23" s="51">
        <f>'Credit Values'!$K$105</f>
        <v>1</v>
      </c>
      <c r="G23" s="51">
        <f>+D23*E23*F23</f>
        <v>0.15</v>
      </c>
      <c r="H23" s="34">
        <f>+C23*G23</f>
        <v>0</v>
      </c>
      <c r="I23" s="42"/>
    </row>
    <row r="24" spans="1:9" ht="12.75">
      <c r="A24" s="86">
        <f>Sales!Y58</f>
        <v>92902</v>
      </c>
      <c r="B24" s="7" t="s">
        <v>59</v>
      </c>
      <c r="C24" s="30">
        <v>0</v>
      </c>
      <c r="D24" s="27">
        <f>'Credit Values'!K92</f>
        <v>1.06</v>
      </c>
      <c r="E24" s="27">
        <f>'Credit Values'!$J$30</f>
        <v>1</v>
      </c>
      <c r="F24" s="51">
        <f>'Credit Values'!K93</f>
        <v>1.9480029048656502</v>
      </c>
      <c r="G24" s="51">
        <f>+D24*E24*F24</f>
        <v>2.0648830791575894</v>
      </c>
      <c r="H24" s="34">
        <f>+C24*G24</f>
        <v>0</v>
      </c>
      <c r="I24" s="42"/>
    </row>
    <row r="25" spans="1:9" ht="12.75">
      <c r="A25" s="14"/>
      <c r="B25" s="15" t="s">
        <v>37</v>
      </c>
      <c r="C25" s="30">
        <f>+SUM(C22:C24)</f>
        <v>1101.9131589943531</v>
      </c>
      <c r="D25" s="27"/>
      <c r="E25" s="27" t="s">
        <v>40</v>
      </c>
      <c r="F25" s="13"/>
      <c r="G25" s="51"/>
      <c r="H25" s="30">
        <f>+SUM(H22:H24)</f>
        <v>4645.1</v>
      </c>
      <c r="I25" s="42">
        <f>+A24*0.05</f>
        <v>4645.1</v>
      </c>
    </row>
    <row r="26" spans="1:9" ht="12.75">
      <c r="A26" s="9" t="s">
        <v>23</v>
      </c>
      <c r="B26" s="11" t="s">
        <v>7</v>
      </c>
      <c r="C26" s="32">
        <f>+I29/G26</f>
        <v>4094.017302639758</v>
      </c>
      <c r="D26" s="28">
        <f>'Credit Values'!K96</f>
        <v>1.5544000000000002</v>
      </c>
      <c r="E26" s="83">
        <f>'Credit Values'!$J$36</f>
        <v>1</v>
      </c>
      <c r="F26" s="47">
        <f>'Credit Values'!K97</f>
        <v>2.7354666666666665</v>
      </c>
      <c r="G26" s="82">
        <f>+D26*E26*F26</f>
        <v>4.252009386666667</v>
      </c>
      <c r="H26" s="36">
        <f>+C26*G26</f>
        <v>17407.8</v>
      </c>
      <c r="I26" s="37"/>
    </row>
    <row r="27" spans="1:9" ht="12.75">
      <c r="A27" s="10" t="s">
        <v>38</v>
      </c>
      <c r="B27" s="2" t="s">
        <v>42</v>
      </c>
      <c r="C27" s="32">
        <v>0</v>
      </c>
      <c r="D27" s="83">
        <f>'Credit Values'!$K$104</f>
        <v>1</v>
      </c>
      <c r="E27" s="83">
        <f>'Credit Values'!$J$37</f>
        <v>0.15</v>
      </c>
      <c r="F27" s="82">
        <f>'Credit Values'!$K$105</f>
        <v>1</v>
      </c>
      <c r="G27" s="82">
        <f>+D27*E27*F27</f>
        <v>0.15</v>
      </c>
      <c r="H27" s="38">
        <f>+C27*G27</f>
        <v>0</v>
      </c>
      <c r="I27" s="39"/>
    </row>
    <row r="28" spans="1:9" ht="12.75">
      <c r="A28" s="87">
        <f>Sales!Y62</f>
        <v>348156</v>
      </c>
      <c r="B28" s="11" t="s">
        <v>60</v>
      </c>
      <c r="C28" s="32">
        <v>0</v>
      </c>
      <c r="D28" s="28">
        <f>'Credit Values'!K100</f>
        <v>1.06</v>
      </c>
      <c r="E28" s="83">
        <f>'Credit Values'!$J$30</f>
        <v>1</v>
      </c>
      <c r="F28" s="52">
        <f>'Credit Values'!K101</f>
        <v>1.8503994190268702</v>
      </c>
      <c r="G28" s="82">
        <f>+D28*E28*F28</f>
        <v>1.9614233841684825</v>
      </c>
      <c r="H28" s="38">
        <f>+C28*G28</f>
        <v>0</v>
      </c>
      <c r="I28" s="39"/>
    </row>
    <row r="29" spans="1:11" ht="12.75">
      <c r="A29" s="4"/>
      <c r="B29" s="1" t="s">
        <v>37</v>
      </c>
      <c r="C29" s="32">
        <f>+SUM(C26:C28)</f>
        <v>4094.017302639758</v>
      </c>
      <c r="D29" s="28"/>
      <c r="E29" s="29" t="s">
        <v>40</v>
      </c>
      <c r="F29" s="43"/>
      <c r="G29" s="52"/>
      <c r="H29" s="40">
        <f>+SUM(H26:H28)</f>
        <v>17407.8</v>
      </c>
      <c r="I29" s="41">
        <f>+A28*0.05</f>
        <v>17407.8</v>
      </c>
      <c r="J29" s="105" t="s">
        <v>178</v>
      </c>
      <c r="K29" s="105" t="s">
        <v>47</v>
      </c>
    </row>
    <row r="30" spans="7:11" ht="12.75">
      <c r="G30" s="85"/>
      <c r="H30" s="33"/>
      <c r="I30" s="22"/>
      <c r="J30" s="105" t="s">
        <v>12</v>
      </c>
      <c r="K30" s="105" t="s">
        <v>179</v>
      </c>
    </row>
    <row r="31" spans="1:11" ht="12.75">
      <c r="A31" s="88">
        <f>+A28+A24+A20+A16+A12+A8</f>
        <v>1883280</v>
      </c>
      <c r="B31" s="7" t="s">
        <v>35</v>
      </c>
      <c r="C31" s="26">
        <f>+C29+C25+C21+C17+C13+C9</f>
        <v>31777.260269357</v>
      </c>
      <c r="D31" s="25"/>
      <c r="E31" s="25"/>
      <c r="F31" s="25"/>
      <c r="G31" s="84"/>
      <c r="H31" s="26">
        <f>+H29+H25+H21+H17+H13+H9</f>
        <v>94164</v>
      </c>
      <c r="I31" s="26">
        <f>+I29+I25+I21+I17+I13+I9</f>
        <v>94164</v>
      </c>
      <c r="J31" s="106">
        <f>I31/C31</f>
        <v>2.9632510544278388</v>
      </c>
      <c r="K31" s="107">
        <f>'Fleet totals'!F21/J31</f>
        <v>0.016873359388597024</v>
      </c>
    </row>
    <row r="32" ht="12.75">
      <c r="G32" s="85"/>
    </row>
    <row r="33" spans="1:9" ht="12.75">
      <c r="A33" s="7" t="s">
        <v>126</v>
      </c>
      <c r="B33" s="7"/>
      <c r="C33" s="31">
        <f>+I33/G33</f>
        <v>31131.771428571432</v>
      </c>
      <c r="D33" s="27">
        <f>'Credit Values'!K108</f>
        <v>1.75</v>
      </c>
      <c r="E33" s="27">
        <f>'Credit Values'!$J$36</f>
        <v>1</v>
      </c>
      <c r="F33" s="84">
        <f>'Credit Values'!K109</f>
        <v>1.728395061728395</v>
      </c>
      <c r="G33" s="27">
        <f>+D33*E33*F33</f>
        <v>3.024691358024691</v>
      </c>
      <c r="H33" s="31">
        <f>+C33*G33</f>
        <v>94164</v>
      </c>
      <c r="I33" s="26">
        <f>+I31+I27+I23+I19+I15+I11</f>
        <v>94164</v>
      </c>
    </row>
  </sheetData>
  <mergeCells count="1">
    <mergeCell ref="D3:F3"/>
  </mergeCells>
  <printOptions/>
  <pageMargins left="0.75" right="0.75" top="1" bottom="1" header="0.5" footer="0.5"/>
  <pageSetup fitToHeight="1" fitToWidth="1" horizontalDpi="600" verticalDpi="600" orientation="landscape" r:id="rId4"/>
  <headerFooter alignWithMargins="0">
    <oddHeader>&amp;C&amp;"Arial,Bold"&amp;20Includes Intermediate Manufacturers</oddHeader>
  </headerFooter>
  <drawing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K33"/>
  <sheetViews>
    <sheetView zoomScale="75" zoomScaleNormal="75" zoomScaleSheetLayoutView="75" workbookViewId="0" topLeftCell="A1">
      <selection activeCell="R38" sqref="R38"/>
    </sheetView>
  </sheetViews>
  <sheetFormatPr defaultColWidth="9.140625" defaultRowHeight="12.75"/>
  <cols>
    <col min="1" max="1" width="13.421875" style="0" customWidth="1"/>
    <col min="2" max="2" width="17.421875" style="0" customWidth="1"/>
    <col min="6" max="6" width="10.7109375" style="0" customWidth="1"/>
    <col min="7" max="7" width="11.28125" style="0" customWidth="1"/>
    <col min="11" max="11" width="13.00390625" style="0" customWidth="1"/>
  </cols>
  <sheetData>
    <row r="1" ht="12.75">
      <c r="A1" t="s">
        <v>157</v>
      </c>
    </row>
    <row r="2" ht="12.75">
      <c r="D2" s="2"/>
    </row>
    <row r="3" spans="1:9" ht="12.75">
      <c r="A3" s="9" t="s">
        <v>17</v>
      </c>
      <c r="B3" s="19" t="s">
        <v>11</v>
      </c>
      <c r="C3" s="19" t="s">
        <v>55</v>
      </c>
      <c r="D3" s="135" t="s">
        <v>12</v>
      </c>
      <c r="E3" s="140"/>
      <c r="F3" s="136"/>
      <c r="G3" s="19" t="s">
        <v>35</v>
      </c>
      <c r="H3" s="9" t="s">
        <v>29</v>
      </c>
      <c r="I3" s="9" t="s">
        <v>39</v>
      </c>
    </row>
    <row r="4" spans="1:9" ht="12.75">
      <c r="A4" s="4"/>
      <c r="B4" s="4"/>
      <c r="C4" s="4" t="s">
        <v>30</v>
      </c>
      <c r="D4" s="18" t="s">
        <v>28</v>
      </c>
      <c r="E4" s="17" t="s">
        <v>54</v>
      </c>
      <c r="F4" s="6" t="s">
        <v>48</v>
      </c>
      <c r="G4" s="4" t="s">
        <v>56</v>
      </c>
      <c r="H4" s="4" t="s">
        <v>36</v>
      </c>
      <c r="I4" s="4" t="s">
        <v>36</v>
      </c>
    </row>
    <row r="5" spans="1:9" ht="12.75">
      <c r="A5" s="10"/>
      <c r="B5" s="4"/>
      <c r="C5" s="4"/>
      <c r="D5" s="18"/>
      <c r="E5" s="17" t="s">
        <v>40</v>
      </c>
      <c r="F5" s="6" t="s">
        <v>40</v>
      </c>
      <c r="G5" s="4"/>
      <c r="H5" s="6"/>
      <c r="I5" s="10"/>
    </row>
    <row r="6" spans="1:9" ht="12.75">
      <c r="A6" s="12" t="s">
        <v>18</v>
      </c>
      <c r="B6" s="15" t="s">
        <v>24</v>
      </c>
      <c r="C6" s="30">
        <f>+I9/G6</f>
        <v>8550.652124302977</v>
      </c>
      <c r="D6" s="27">
        <f>'Credit Values'!K56</f>
        <v>1.252</v>
      </c>
      <c r="E6" s="27">
        <f>'Credit Values'!$K$36</f>
        <v>1</v>
      </c>
      <c r="F6" s="51">
        <f>'Credit Values'!K57</f>
        <v>1.504672897196262</v>
      </c>
      <c r="G6" s="51">
        <f>+D6*E6*F6</f>
        <v>1.88385046728972</v>
      </c>
      <c r="H6" s="34">
        <f>+C6*G6</f>
        <v>16108.15</v>
      </c>
      <c r="I6" s="30"/>
    </row>
    <row r="7" spans="1:9" ht="12.75">
      <c r="A7" s="14" t="s">
        <v>38</v>
      </c>
      <c r="B7" s="7" t="s">
        <v>42</v>
      </c>
      <c r="C7" s="31">
        <v>0</v>
      </c>
      <c r="D7" s="27">
        <f>'Credit Values'!$K$104</f>
        <v>1</v>
      </c>
      <c r="E7" s="27">
        <f>'Credit Values'!$K$37</f>
        <v>0.15</v>
      </c>
      <c r="F7" s="51">
        <f>'Credit Values'!$K$105</f>
        <v>1</v>
      </c>
      <c r="G7" s="51">
        <f>+D7*E7*F7</f>
        <v>0.15</v>
      </c>
      <c r="H7" s="34">
        <f>+C7*G7</f>
        <v>0</v>
      </c>
      <c r="I7" s="42"/>
    </row>
    <row r="8" spans="1:9" ht="12.75">
      <c r="A8" s="86">
        <f>Sales!Z42</f>
        <v>322163</v>
      </c>
      <c r="B8" s="7" t="s">
        <v>27</v>
      </c>
      <c r="C8" s="31">
        <v>0</v>
      </c>
      <c r="D8" s="27">
        <f>'Credit Values'!K60</f>
        <v>1</v>
      </c>
      <c r="E8" s="27">
        <f>'Credit Values'!$J$30</f>
        <v>1</v>
      </c>
      <c r="F8" s="51">
        <f>'Credit Values'!K61</f>
        <v>1.3507625272331156</v>
      </c>
      <c r="G8" s="51">
        <f>+D8*E8*F8</f>
        <v>1.3507625272331156</v>
      </c>
      <c r="H8" s="34">
        <f>+C8*G8</f>
        <v>0</v>
      </c>
      <c r="I8" s="42"/>
    </row>
    <row r="9" spans="1:9" ht="12.75">
      <c r="A9" s="14"/>
      <c r="B9" s="16" t="s">
        <v>37</v>
      </c>
      <c r="C9" s="31">
        <f>+SUM(C6:C8)</f>
        <v>8550.652124302977</v>
      </c>
      <c r="D9" s="27"/>
      <c r="E9" s="27" t="s">
        <v>40</v>
      </c>
      <c r="F9" s="13"/>
      <c r="G9" s="51"/>
      <c r="H9" s="30">
        <f>+SUM(H6:H8)</f>
        <v>16108.15</v>
      </c>
      <c r="I9" s="44">
        <f>+A8*0.05</f>
        <v>16108.150000000001</v>
      </c>
    </row>
    <row r="10" spans="1:9" ht="12.75">
      <c r="A10" s="9" t="s">
        <v>19</v>
      </c>
      <c r="B10" s="11" t="s">
        <v>34</v>
      </c>
      <c r="C10" s="32">
        <f>+I13/G10</f>
        <v>8062.469407808224</v>
      </c>
      <c r="D10" s="28">
        <f>'Credit Values'!K64</f>
        <v>1.192</v>
      </c>
      <c r="E10" s="83">
        <f>'Credit Values'!$K$36</f>
        <v>1</v>
      </c>
      <c r="F10" s="52">
        <f>'Credit Values'!K65</f>
        <v>2.2048</v>
      </c>
      <c r="G10" s="82">
        <f>+D10*E10*F10</f>
        <v>2.6281216</v>
      </c>
      <c r="H10" s="36">
        <f>+C10*G10</f>
        <v>21189.15</v>
      </c>
      <c r="I10" s="37"/>
    </row>
    <row r="11" spans="1:9" ht="12.75">
      <c r="A11" s="10" t="s">
        <v>38</v>
      </c>
      <c r="B11" s="11" t="s">
        <v>42</v>
      </c>
      <c r="C11" s="32">
        <v>0</v>
      </c>
      <c r="D11" s="83">
        <f>'Credit Values'!$K$104</f>
        <v>1</v>
      </c>
      <c r="E11" s="83">
        <f>'Credit Values'!$K$37</f>
        <v>0.15</v>
      </c>
      <c r="F11" s="82">
        <f>'Credit Values'!$K$105</f>
        <v>1</v>
      </c>
      <c r="G11" s="82">
        <f>+D11*E11*F11</f>
        <v>0.15</v>
      </c>
      <c r="H11" s="38">
        <f>+C11*G11</f>
        <v>0</v>
      </c>
      <c r="I11" s="39"/>
    </row>
    <row r="12" spans="1:9" ht="12.75">
      <c r="A12" s="87">
        <f>Sales!Z46</f>
        <v>423783</v>
      </c>
      <c r="B12" s="11" t="s">
        <v>57</v>
      </c>
      <c r="C12" s="32">
        <v>0</v>
      </c>
      <c r="D12" s="28">
        <f>'Credit Values'!K68</f>
        <v>1</v>
      </c>
      <c r="E12" s="83">
        <f>'Credit Values'!$J$30</f>
        <v>1</v>
      </c>
      <c r="F12" s="52">
        <f>'Credit Values'!K69</f>
        <v>1.3500363108206248</v>
      </c>
      <c r="G12" s="82">
        <f>+D12*E12*F12</f>
        <v>1.3500363108206248</v>
      </c>
      <c r="H12" s="38">
        <f>+C12*G12</f>
        <v>0</v>
      </c>
      <c r="I12" s="39"/>
    </row>
    <row r="13" spans="1:9" ht="12.75">
      <c r="A13" s="4"/>
      <c r="B13" s="11" t="s">
        <v>37</v>
      </c>
      <c r="C13" s="32">
        <f>+SUM(C10:C12)</f>
        <v>8062.469407808224</v>
      </c>
      <c r="D13" s="28"/>
      <c r="E13" s="47" t="s">
        <v>40</v>
      </c>
      <c r="F13" s="43"/>
      <c r="G13" s="82"/>
      <c r="H13" s="40">
        <f>+SUM(H10:H12)</f>
        <v>21189.15</v>
      </c>
      <c r="I13" s="41">
        <f>+A12*0.05</f>
        <v>21189.15</v>
      </c>
    </row>
    <row r="14" spans="1:9" ht="12.75">
      <c r="A14" s="12" t="s">
        <v>20</v>
      </c>
      <c r="B14" s="7" t="s">
        <v>25</v>
      </c>
      <c r="C14" s="31">
        <f>+I17/G14</f>
        <v>5955.070390599578</v>
      </c>
      <c r="D14" s="27">
        <f>'Credit Values'!K72</f>
        <v>1.3666</v>
      </c>
      <c r="E14" s="27">
        <f>'Credit Values'!$K$36</f>
        <v>1</v>
      </c>
      <c r="F14" s="51">
        <f>'Credit Values'!K73</f>
        <v>2.8174291938997817</v>
      </c>
      <c r="G14" s="51">
        <f aca="true" t="shared" si="0" ref="G14:G20">+D14*E14*F14</f>
        <v>3.8502987363834418</v>
      </c>
      <c r="H14" s="34">
        <f>+C14*G14</f>
        <v>22928.800000000003</v>
      </c>
      <c r="I14" s="42"/>
    </row>
    <row r="15" spans="1:10" ht="12.75">
      <c r="A15" s="14" t="s">
        <v>38</v>
      </c>
      <c r="B15" s="15" t="s">
        <v>42</v>
      </c>
      <c r="C15" s="31">
        <v>0</v>
      </c>
      <c r="D15" s="27">
        <f>'Credit Values'!$K$104</f>
        <v>1</v>
      </c>
      <c r="E15" s="27">
        <f>'Credit Values'!$K$37</f>
        <v>0.15</v>
      </c>
      <c r="F15" s="51">
        <f>'Credit Values'!$K$105</f>
        <v>1</v>
      </c>
      <c r="G15" s="51">
        <f t="shared" si="0"/>
        <v>0.15</v>
      </c>
      <c r="H15" s="34">
        <f>+C15*G15</f>
        <v>0</v>
      </c>
      <c r="I15" s="42"/>
      <c r="J15" s="23"/>
    </row>
    <row r="16" spans="1:9" ht="12.75">
      <c r="A16" s="86">
        <f>Sales!Z50</f>
        <v>458576</v>
      </c>
      <c r="B16" s="7" t="s">
        <v>27</v>
      </c>
      <c r="C16" s="31">
        <v>0</v>
      </c>
      <c r="D16" s="27">
        <f>'Credit Values'!K76</f>
        <v>1</v>
      </c>
      <c r="E16" s="27">
        <f>'Credit Values'!$J$30</f>
        <v>1</v>
      </c>
      <c r="F16" s="51">
        <f>'Credit Values'!K77</f>
        <v>1.3507625272331156</v>
      </c>
      <c r="G16" s="51">
        <f t="shared" si="0"/>
        <v>1.3507625272331156</v>
      </c>
      <c r="H16" s="34">
        <f>+C16*G16</f>
        <v>0</v>
      </c>
      <c r="I16" s="42"/>
    </row>
    <row r="17" spans="1:9" ht="12.75">
      <c r="A17" s="13"/>
      <c r="B17" s="7" t="s">
        <v>37</v>
      </c>
      <c r="C17" s="31">
        <f>+SUM(C14:C16)</f>
        <v>5955.070390599578</v>
      </c>
      <c r="D17" s="27"/>
      <c r="E17" s="27"/>
      <c r="F17" s="13"/>
      <c r="G17" s="51">
        <f t="shared" si="0"/>
        <v>0</v>
      </c>
      <c r="H17" s="30">
        <f>+SUM(H14:H16)</f>
        <v>22928.800000000003</v>
      </c>
      <c r="I17" s="42">
        <f>+A16*0.05</f>
        <v>22928.800000000003</v>
      </c>
    </row>
    <row r="18" spans="1:9" ht="12.75">
      <c r="A18" s="9" t="s">
        <v>21</v>
      </c>
      <c r="B18" s="11" t="s">
        <v>26</v>
      </c>
      <c r="C18" s="32">
        <f>+I21/G18</f>
        <v>4013.1378850121155</v>
      </c>
      <c r="D18" s="28">
        <f>'Credit Values'!K80</f>
        <v>1.4512</v>
      </c>
      <c r="E18" s="83">
        <f>'Credit Values'!$K$36</f>
        <v>1</v>
      </c>
      <c r="F18" s="52">
        <f>'Credit Values'!K81</f>
        <v>2.0407407407407407</v>
      </c>
      <c r="G18" s="82">
        <f t="shared" si="0"/>
        <v>2.961522962962963</v>
      </c>
      <c r="H18" s="36">
        <f>+C18*G18</f>
        <v>11885</v>
      </c>
      <c r="I18" s="37"/>
    </row>
    <row r="19" spans="1:9" ht="12.75">
      <c r="A19" s="10" t="s">
        <v>38</v>
      </c>
      <c r="B19" s="11" t="s">
        <v>42</v>
      </c>
      <c r="C19" s="32">
        <v>0</v>
      </c>
      <c r="D19" s="83">
        <f>'Credit Values'!$K$104</f>
        <v>1</v>
      </c>
      <c r="E19" s="83">
        <f>'Credit Values'!$K$37</f>
        <v>0.15</v>
      </c>
      <c r="F19" s="82">
        <f>'Credit Values'!$K$105</f>
        <v>1</v>
      </c>
      <c r="G19" s="82">
        <f t="shared" si="0"/>
        <v>0.15</v>
      </c>
      <c r="H19" s="38">
        <f>+C19*G19</f>
        <v>0</v>
      </c>
      <c r="I19" s="39"/>
    </row>
    <row r="20" spans="1:9" ht="12.75">
      <c r="A20" s="87">
        <f>Sales!Z54</f>
        <v>237700</v>
      </c>
      <c r="B20" s="11" t="s">
        <v>58</v>
      </c>
      <c r="C20" s="32">
        <v>0</v>
      </c>
      <c r="D20" s="28">
        <f>'Credit Values'!K84</f>
        <v>1.18</v>
      </c>
      <c r="E20" s="83">
        <f>'Credit Values'!$J$30</f>
        <v>1</v>
      </c>
      <c r="F20" s="52">
        <f>'Credit Values'!K85</f>
        <v>1.4524328249818448</v>
      </c>
      <c r="G20" s="82">
        <f t="shared" si="0"/>
        <v>1.7138707334785768</v>
      </c>
      <c r="H20" s="38">
        <f>+C20*G20</f>
        <v>0</v>
      </c>
      <c r="I20" s="39"/>
    </row>
    <row r="21" spans="1:9" ht="12.75">
      <c r="A21" s="10"/>
      <c r="B21" s="11" t="s">
        <v>37</v>
      </c>
      <c r="C21" s="32">
        <f>+SUM(C18:C20)</f>
        <v>4013.1378850121155</v>
      </c>
      <c r="D21" s="28"/>
      <c r="E21" s="47" t="s">
        <v>40</v>
      </c>
      <c r="F21" s="43"/>
      <c r="G21" s="82"/>
      <c r="H21" s="40">
        <f>+SUM(H18:H20)</f>
        <v>11885</v>
      </c>
      <c r="I21" s="41">
        <f>+A20*0.05</f>
        <v>11885</v>
      </c>
    </row>
    <row r="22" spans="1:9" ht="12.75">
      <c r="A22" s="12" t="s">
        <v>22</v>
      </c>
      <c r="B22" s="16" t="s">
        <v>6</v>
      </c>
      <c r="C22" s="31">
        <f>+I25/G22</f>
        <v>1101.9131589943531</v>
      </c>
      <c r="D22" s="27">
        <f>'Credit Values'!K88</f>
        <v>1.474</v>
      </c>
      <c r="E22" s="27">
        <f>'Credit Values'!$K$36</f>
        <v>1</v>
      </c>
      <c r="F22" s="51">
        <f>'Credit Values'!K89</f>
        <v>2.859895833333333</v>
      </c>
      <c r="G22" s="51">
        <f>+D22*E22*F22</f>
        <v>4.2154864583333325</v>
      </c>
      <c r="H22" s="34">
        <f>+C22*G22</f>
        <v>4645.1</v>
      </c>
      <c r="I22" s="42"/>
    </row>
    <row r="23" spans="1:9" ht="12.75">
      <c r="A23" s="14" t="s">
        <v>38</v>
      </c>
      <c r="B23" s="16" t="s">
        <v>42</v>
      </c>
      <c r="C23" s="31">
        <v>0</v>
      </c>
      <c r="D23" s="27">
        <f>'Credit Values'!$K$104</f>
        <v>1</v>
      </c>
      <c r="E23" s="27">
        <f>'Credit Values'!$K$37</f>
        <v>0.15</v>
      </c>
      <c r="F23" s="51">
        <f>'Credit Values'!$K$105</f>
        <v>1</v>
      </c>
      <c r="G23" s="51">
        <f>+D23*E23*F23</f>
        <v>0.15</v>
      </c>
      <c r="H23" s="34">
        <f>+C23*G23</f>
        <v>0</v>
      </c>
      <c r="I23" s="42"/>
    </row>
    <row r="24" spans="1:9" ht="12.75">
      <c r="A24" s="86">
        <f>Sales!Z58</f>
        <v>92902</v>
      </c>
      <c r="B24" s="7" t="s">
        <v>59</v>
      </c>
      <c r="C24" s="30">
        <v>0</v>
      </c>
      <c r="D24" s="27">
        <f>'Credit Values'!K92</f>
        <v>1.06</v>
      </c>
      <c r="E24" s="27">
        <f>'Credit Values'!$J$30</f>
        <v>1</v>
      </c>
      <c r="F24" s="51">
        <f>'Credit Values'!K93</f>
        <v>1.9480029048656502</v>
      </c>
      <c r="G24" s="51">
        <f>+D24*E24*F24</f>
        <v>2.0648830791575894</v>
      </c>
      <c r="H24" s="34">
        <f>+C24*G24</f>
        <v>0</v>
      </c>
      <c r="I24" s="42"/>
    </row>
    <row r="25" spans="1:9" ht="12.75">
      <c r="A25" s="14"/>
      <c r="B25" s="15" t="s">
        <v>37</v>
      </c>
      <c r="C25" s="30">
        <f>+SUM(C22:C24)</f>
        <v>1101.9131589943531</v>
      </c>
      <c r="D25" s="27"/>
      <c r="E25" s="27" t="s">
        <v>40</v>
      </c>
      <c r="F25" s="13"/>
      <c r="G25" s="51"/>
      <c r="H25" s="30">
        <f>+SUM(H22:H24)</f>
        <v>4645.1</v>
      </c>
      <c r="I25" s="42">
        <f>+A24*0.05</f>
        <v>4645.1</v>
      </c>
    </row>
    <row r="26" spans="1:9" ht="12.75">
      <c r="A26" s="9" t="s">
        <v>23</v>
      </c>
      <c r="B26" s="11" t="s">
        <v>7</v>
      </c>
      <c r="C26" s="32">
        <f>+I29/G26</f>
        <v>4094.017302639758</v>
      </c>
      <c r="D26" s="28">
        <f>'Credit Values'!K96</f>
        <v>1.5544000000000002</v>
      </c>
      <c r="E26" s="83">
        <f>'Credit Values'!$K$36</f>
        <v>1</v>
      </c>
      <c r="F26" s="47">
        <f>'Credit Values'!K97</f>
        <v>2.7354666666666665</v>
      </c>
      <c r="G26" s="82">
        <f>+D26*E26*F26</f>
        <v>4.252009386666667</v>
      </c>
      <c r="H26" s="36">
        <f>+C26*G26</f>
        <v>17407.8</v>
      </c>
      <c r="I26" s="37"/>
    </row>
    <row r="27" spans="1:9" ht="12.75">
      <c r="A27" s="10" t="s">
        <v>38</v>
      </c>
      <c r="B27" s="2" t="s">
        <v>42</v>
      </c>
      <c r="C27" s="32">
        <v>0</v>
      </c>
      <c r="D27" s="83">
        <f>'Credit Values'!$K$104</f>
        <v>1</v>
      </c>
      <c r="E27" s="83">
        <f>'Credit Values'!$K$37</f>
        <v>0.15</v>
      </c>
      <c r="F27" s="82">
        <f>'Credit Values'!$K$105</f>
        <v>1</v>
      </c>
      <c r="G27" s="82">
        <f>+D27*E27*F27</f>
        <v>0.15</v>
      </c>
      <c r="H27" s="38">
        <f>+C27*G27</f>
        <v>0</v>
      </c>
      <c r="I27" s="39"/>
    </row>
    <row r="28" spans="1:9" ht="12.75">
      <c r="A28" s="87">
        <f>Sales!Z62</f>
        <v>348156</v>
      </c>
      <c r="B28" s="11" t="s">
        <v>60</v>
      </c>
      <c r="C28" s="32">
        <v>0</v>
      </c>
      <c r="D28" s="28">
        <f>'Credit Values'!K100</f>
        <v>1.06</v>
      </c>
      <c r="E28" s="83">
        <f>'Credit Values'!$J$30</f>
        <v>1</v>
      </c>
      <c r="F28" s="52">
        <f>'Credit Values'!K101</f>
        <v>1.8503994190268702</v>
      </c>
      <c r="G28" s="82">
        <f>+D28*E28*F28</f>
        <v>1.9614233841684825</v>
      </c>
      <c r="H28" s="38">
        <f>+C28*G28</f>
        <v>0</v>
      </c>
      <c r="I28" s="39"/>
    </row>
    <row r="29" spans="1:11" ht="12.75">
      <c r="A29" s="4"/>
      <c r="B29" s="1" t="s">
        <v>37</v>
      </c>
      <c r="C29" s="32">
        <f>+SUM(C26:C28)</f>
        <v>4094.017302639758</v>
      </c>
      <c r="D29" s="28"/>
      <c r="E29" s="29" t="s">
        <v>40</v>
      </c>
      <c r="F29" s="43"/>
      <c r="G29" s="52"/>
      <c r="H29" s="40">
        <f>+SUM(H26:H28)</f>
        <v>17407.8</v>
      </c>
      <c r="I29" s="41">
        <f>+A28*0.05</f>
        <v>17407.8</v>
      </c>
      <c r="J29" s="105" t="s">
        <v>178</v>
      </c>
      <c r="K29" s="105" t="s">
        <v>47</v>
      </c>
    </row>
    <row r="30" spans="7:11" ht="12.75">
      <c r="G30" s="85"/>
      <c r="H30" s="33"/>
      <c r="I30" s="22"/>
      <c r="J30" s="105" t="s">
        <v>12</v>
      </c>
      <c r="K30" s="105" t="s">
        <v>179</v>
      </c>
    </row>
    <row r="31" spans="1:11" ht="12.75">
      <c r="A31" s="88">
        <f>+A28+A24+A20+A16+A12+A8</f>
        <v>1883280</v>
      </c>
      <c r="B31" s="7" t="s">
        <v>35</v>
      </c>
      <c r="C31" s="26">
        <f>+C29+C25+C21+C17+C13+C9</f>
        <v>31777.260269357</v>
      </c>
      <c r="D31" s="25"/>
      <c r="E31" s="25"/>
      <c r="F31" s="25"/>
      <c r="G31" s="84"/>
      <c r="H31" s="26">
        <f>+H29+H25+H21+H17+H13+H9</f>
        <v>94164</v>
      </c>
      <c r="I31" s="26">
        <f>+I29+I25+I21+I17+I13+I9</f>
        <v>94164</v>
      </c>
      <c r="J31" s="106">
        <f>I31/C31</f>
        <v>2.9632510544278388</v>
      </c>
      <c r="K31" s="107">
        <f>'Fleet totals'!F22/J31</f>
        <v>0.016873359388597024</v>
      </c>
    </row>
    <row r="32" ht="12.75">
      <c r="G32" s="85"/>
    </row>
    <row r="33" spans="1:9" ht="12.75">
      <c r="A33" s="7" t="s">
        <v>126</v>
      </c>
      <c r="B33" s="7"/>
      <c r="C33" s="31">
        <f>+I33/G33</f>
        <v>31131.771428571432</v>
      </c>
      <c r="D33" s="27">
        <f>'Credit Values'!K108</f>
        <v>1.75</v>
      </c>
      <c r="E33" s="27">
        <f>'Credit Values'!$K$36</f>
        <v>1</v>
      </c>
      <c r="F33" s="84">
        <f>'Credit Values'!K109</f>
        <v>1.728395061728395</v>
      </c>
      <c r="G33" s="27">
        <f>+D33*E33*F33</f>
        <v>3.024691358024691</v>
      </c>
      <c r="H33" s="31">
        <f>+C33*G33</f>
        <v>94164</v>
      </c>
      <c r="I33" s="26">
        <f>+I31+I27+I23+I19+I15+I11</f>
        <v>94164</v>
      </c>
    </row>
  </sheetData>
  <mergeCells count="1">
    <mergeCell ref="D3:F3"/>
  </mergeCells>
  <printOptions/>
  <pageMargins left="0.75" right="0.75" top="1" bottom="1" header="0.5" footer="0.5"/>
  <pageSetup fitToHeight="1" fitToWidth="1" horizontalDpi="600" verticalDpi="600" orientation="landscape" r:id="rId4"/>
  <headerFooter alignWithMargins="0">
    <oddHeader>&amp;C&amp;"Arial,Bold"Includes Intermediate Manufacturers</oddHeader>
  </headerFooter>
  <drawing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M50"/>
  <sheetViews>
    <sheetView workbookViewId="0" topLeftCell="A26">
      <selection activeCell="R38" sqref="R38"/>
    </sheetView>
  </sheetViews>
  <sheetFormatPr defaultColWidth="9.140625" defaultRowHeight="12.75"/>
  <cols>
    <col min="1" max="1" width="14.140625" style="0" bestFit="1" customWidth="1"/>
    <col min="2" max="2" width="11.8515625" style="0" customWidth="1"/>
    <col min="3" max="3" width="10.00390625" style="0" customWidth="1"/>
    <col min="4" max="4" width="7.00390625" style="0" bestFit="1" customWidth="1"/>
    <col min="5" max="5" width="7.421875" style="0" bestFit="1" customWidth="1"/>
    <col min="6" max="6" width="7.00390625" style="0" bestFit="1" customWidth="1"/>
    <col min="7" max="7" width="7.421875" style="0" bestFit="1" customWidth="1"/>
    <col min="8" max="8" width="7.00390625" style="0" bestFit="1" customWidth="1"/>
    <col min="9" max="9" width="7.421875" style="0" customWidth="1"/>
    <col min="10" max="10" width="11.00390625" style="0" customWidth="1"/>
    <col min="11" max="11" width="9.00390625" style="0" customWidth="1"/>
    <col min="12" max="12" width="7.00390625" style="0" bestFit="1" customWidth="1"/>
    <col min="13" max="13" width="7.421875" style="0" bestFit="1" customWidth="1"/>
  </cols>
  <sheetData>
    <row r="1" ht="12.75">
      <c r="A1" s="48" t="s">
        <v>91</v>
      </c>
    </row>
    <row r="2" spans="1:13" ht="12.75">
      <c r="A2" s="59"/>
      <c r="B2" s="144" t="s">
        <v>159</v>
      </c>
      <c r="C2" s="162" t="s">
        <v>94</v>
      </c>
      <c r="D2" s="159" t="s">
        <v>95</v>
      </c>
      <c r="E2" s="159"/>
      <c r="F2" s="159" t="s">
        <v>96</v>
      </c>
      <c r="G2" s="159"/>
      <c r="H2" s="159" t="s">
        <v>97</v>
      </c>
      <c r="I2" s="159"/>
      <c r="J2" s="160" t="s">
        <v>160</v>
      </c>
      <c r="K2" s="160" t="s">
        <v>94</v>
      </c>
      <c r="L2" s="159" t="s">
        <v>98</v>
      </c>
      <c r="M2" s="159"/>
    </row>
    <row r="3" spans="1:13" ht="12.75">
      <c r="A3" s="1" t="s">
        <v>17</v>
      </c>
      <c r="B3" s="145"/>
      <c r="C3" s="162"/>
      <c r="D3" s="32" t="s">
        <v>70</v>
      </c>
      <c r="E3" s="32" t="s">
        <v>71</v>
      </c>
      <c r="F3" s="32" t="s">
        <v>70</v>
      </c>
      <c r="G3" s="32" t="s">
        <v>71</v>
      </c>
      <c r="H3" s="32" t="s">
        <v>70</v>
      </c>
      <c r="I3" s="32" t="s">
        <v>71</v>
      </c>
      <c r="J3" s="161"/>
      <c r="K3" s="161"/>
      <c r="L3" s="32" t="s">
        <v>70</v>
      </c>
      <c r="M3" s="32" t="s">
        <v>71</v>
      </c>
    </row>
    <row r="4" spans="1:13" ht="12.75">
      <c r="A4" s="1"/>
      <c r="B4" s="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2.75">
      <c r="A5" s="1" t="s">
        <v>18</v>
      </c>
      <c r="B5" s="32">
        <f>Sales!E$42</f>
        <v>80308.66666666667</v>
      </c>
      <c r="C5" s="32">
        <f aca="true" t="shared" si="0" ref="C5:C10">+B5*0.06</f>
        <v>4818.52</v>
      </c>
      <c r="D5" s="32">
        <f aca="true" t="shared" si="1" ref="D5:D10">+$C5/0.2</f>
        <v>24092.600000000002</v>
      </c>
      <c r="E5" s="32">
        <f>+D5/'Credit Values'!D33</f>
        <v>6023.150000000001</v>
      </c>
      <c r="F5" s="32">
        <f aca="true" t="shared" si="2" ref="F5:F10">+$C5/0.2</f>
        <v>24092.600000000002</v>
      </c>
      <c r="G5" s="32">
        <f>+D5/'Credit Values'!E33</f>
        <v>12046.300000000001</v>
      </c>
      <c r="H5" s="32">
        <f aca="true" t="shared" si="3" ref="H5:H10">+$C5/0.2</f>
        <v>24092.600000000002</v>
      </c>
      <c r="I5" s="32">
        <f>+D5/'Credit Values'!F33</f>
        <v>18114.736842105263</v>
      </c>
      <c r="J5" s="32">
        <f>Sales!I$42</f>
        <v>163356</v>
      </c>
      <c r="K5" s="32">
        <f aca="true" t="shared" si="4" ref="K5:K10">+J5*0.06</f>
        <v>9801.359999999999</v>
      </c>
      <c r="L5" s="32">
        <f aca="true" t="shared" si="5" ref="L5:L10">+$K5/0.2</f>
        <v>49006.79999999999</v>
      </c>
      <c r="M5" s="32">
        <f aca="true" t="shared" si="6" ref="M5:M10">+L5</f>
        <v>49006.79999999999</v>
      </c>
    </row>
    <row r="6" spans="1:13" ht="12.75">
      <c r="A6" s="1" t="s">
        <v>19</v>
      </c>
      <c r="B6" s="32">
        <f>Sales!E$46</f>
        <v>190834.33333333334</v>
      </c>
      <c r="C6" s="32">
        <f t="shared" si="0"/>
        <v>11450.06</v>
      </c>
      <c r="D6" s="32">
        <f t="shared" si="1"/>
        <v>57250.299999999996</v>
      </c>
      <c r="E6" s="32">
        <f>+D6/'Credit Values'!D33</f>
        <v>14312.574999999999</v>
      </c>
      <c r="F6" s="32">
        <f t="shared" si="2"/>
        <v>57250.299999999996</v>
      </c>
      <c r="G6" s="32">
        <f>+D6/'Credit Values'!E33</f>
        <v>28625.149999999998</v>
      </c>
      <c r="H6" s="32">
        <f t="shared" si="3"/>
        <v>57250.299999999996</v>
      </c>
      <c r="I6" s="32">
        <f>+D6/'Credit Values'!F33</f>
        <v>43045.33834586466</v>
      </c>
      <c r="J6" s="32">
        <f>Sales!I$46</f>
        <v>213118</v>
      </c>
      <c r="K6" s="32">
        <f t="shared" si="4"/>
        <v>12787.08</v>
      </c>
      <c r="L6" s="32">
        <f t="shared" si="5"/>
        <v>63935.399999999994</v>
      </c>
      <c r="M6" s="32">
        <f t="shared" si="6"/>
        <v>63935.399999999994</v>
      </c>
    </row>
    <row r="7" spans="1:13" ht="12.75">
      <c r="A7" s="1" t="s">
        <v>20</v>
      </c>
      <c r="B7" s="32">
        <f>Sales!E$50</f>
        <v>224335</v>
      </c>
      <c r="C7" s="32">
        <f t="shared" si="0"/>
        <v>13460.1</v>
      </c>
      <c r="D7" s="32">
        <f t="shared" si="1"/>
        <v>67300.5</v>
      </c>
      <c r="E7" s="32">
        <f>+D7/'Credit Values'!D33</f>
        <v>16825.125</v>
      </c>
      <c r="F7" s="32">
        <f t="shared" si="2"/>
        <v>67300.5</v>
      </c>
      <c r="G7" s="32">
        <f>+D7/'Credit Values'!E33</f>
        <v>33650.25</v>
      </c>
      <c r="H7" s="32">
        <f t="shared" si="3"/>
        <v>67300.5</v>
      </c>
      <c r="I7" s="32">
        <f>+D7/'Credit Values'!F33</f>
        <v>50601.879699248115</v>
      </c>
      <c r="J7" s="32">
        <f>Sales!I$50</f>
        <v>241138</v>
      </c>
      <c r="K7" s="32">
        <f t="shared" si="4"/>
        <v>14468.279999999999</v>
      </c>
      <c r="L7" s="32">
        <f t="shared" si="5"/>
        <v>72341.4</v>
      </c>
      <c r="M7" s="32">
        <f t="shared" si="6"/>
        <v>72341.4</v>
      </c>
    </row>
    <row r="8" spans="1:13" ht="12.75">
      <c r="A8" s="1" t="s">
        <v>21</v>
      </c>
      <c r="B8" s="32">
        <f>Sales!E$54</f>
        <v>163555.66666666666</v>
      </c>
      <c r="C8" s="32">
        <f t="shared" si="0"/>
        <v>9813.339999999998</v>
      </c>
      <c r="D8" s="32">
        <f t="shared" si="1"/>
        <v>49066.69999999999</v>
      </c>
      <c r="E8" s="32">
        <f>+D8/'Credit Values'!D33</f>
        <v>12266.674999999997</v>
      </c>
      <c r="F8" s="32">
        <f t="shared" si="2"/>
        <v>49066.69999999999</v>
      </c>
      <c r="G8" s="32">
        <f>+D8/'Credit Values'!E33</f>
        <v>24533.349999999995</v>
      </c>
      <c r="H8" s="32">
        <f t="shared" si="3"/>
        <v>49066.69999999999</v>
      </c>
      <c r="I8" s="32">
        <f>+D8/'Credit Values'!F33</f>
        <v>36892.25563909773</v>
      </c>
      <c r="J8" s="32">
        <f>Sales!I$54</f>
        <v>216657</v>
      </c>
      <c r="K8" s="32">
        <f t="shared" si="4"/>
        <v>12999.42</v>
      </c>
      <c r="L8" s="32">
        <f t="shared" si="5"/>
        <v>64997.1</v>
      </c>
      <c r="M8" s="32">
        <f t="shared" si="6"/>
        <v>64997.1</v>
      </c>
    </row>
    <row r="9" spans="1:13" ht="12.75">
      <c r="A9" s="1" t="s">
        <v>22</v>
      </c>
      <c r="B9" s="32">
        <f>Sales!E$58</f>
        <v>59646.333333333336</v>
      </c>
      <c r="C9" s="32">
        <f t="shared" si="0"/>
        <v>3578.78</v>
      </c>
      <c r="D9" s="32">
        <f t="shared" si="1"/>
        <v>17893.9</v>
      </c>
      <c r="E9" s="32">
        <f>+D9/'Credit Values'!D33</f>
        <v>4473.475</v>
      </c>
      <c r="F9" s="32">
        <f t="shared" si="2"/>
        <v>17893.9</v>
      </c>
      <c r="G9" s="32">
        <f>+D9/'Credit Values'!E33</f>
        <v>8946.95</v>
      </c>
      <c r="H9" s="32">
        <f t="shared" si="3"/>
        <v>17893.9</v>
      </c>
      <c r="I9" s="32">
        <f>+D9/'Credit Values'!F33</f>
        <v>13454.06015037594</v>
      </c>
      <c r="J9" s="32">
        <f>Sales!I$58</f>
        <v>57402</v>
      </c>
      <c r="K9" s="32">
        <f t="shared" si="4"/>
        <v>3444.12</v>
      </c>
      <c r="L9" s="32">
        <f t="shared" si="5"/>
        <v>17220.6</v>
      </c>
      <c r="M9" s="32">
        <f t="shared" si="6"/>
        <v>17220.6</v>
      </c>
    </row>
    <row r="10" spans="1:13" ht="12.75">
      <c r="A10" s="1" t="s">
        <v>23</v>
      </c>
      <c r="B10" s="32">
        <f>Sales!E$62</f>
        <v>198717.66666666666</v>
      </c>
      <c r="C10" s="32">
        <f t="shared" si="0"/>
        <v>11923.06</v>
      </c>
      <c r="D10" s="32">
        <f t="shared" si="1"/>
        <v>59615.299999999996</v>
      </c>
      <c r="E10" s="32">
        <f>+D10/'Credit Values'!D33</f>
        <v>14903.824999999999</v>
      </c>
      <c r="F10" s="32">
        <f t="shared" si="2"/>
        <v>59615.299999999996</v>
      </c>
      <c r="G10" s="32">
        <f>+D10/'Credit Values'!E33</f>
        <v>29807.649999999998</v>
      </c>
      <c r="H10" s="32">
        <f t="shared" si="3"/>
        <v>59615.299999999996</v>
      </c>
      <c r="I10" s="32">
        <f>+D10/'Credit Values'!F33</f>
        <v>44823.53383458646</v>
      </c>
      <c r="J10" s="32">
        <f>Sales!I$62</f>
        <v>238893</v>
      </c>
      <c r="K10" s="32">
        <f t="shared" si="4"/>
        <v>14333.58</v>
      </c>
      <c r="L10" s="32">
        <f t="shared" si="5"/>
        <v>71667.9</v>
      </c>
      <c r="M10" s="32">
        <f t="shared" si="6"/>
        <v>71667.9</v>
      </c>
    </row>
    <row r="11" spans="1:13" ht="12.75">
      <c r="A11" s="1"/>
      <c r="B11" s="1"/>
      <c r="C11" s="32"/>
      <c r="D11" s="32"/>
      <c r="E11" s="32"/>
      <c r="F11" s="32"/>
      <c r="G11" s="32"/>
      <c r="H11" s="32"/>
      <c r="I11" s="32"/>
      <c r="J11" s="1"/>
      <c r="K11" s="32"/>
      <c r="L11" s="32"/>
      <c r="M11" s="32"/>
    </row>
    <row r="12" spans="1:13" ht="12.75">
      <c r="A12" s="1" t="s">
        <v>37</v>
      </c>
      <c r="B12" s="32">
        <f aca="true" t="shared" si="7" ref="B12:M12">+SUM(B5:B10)</f>
        <v>917397.6666666666</v>
      </c>
      <c r="C12" s="32">
        <f t="shared" si="7"/>
        <v>55043.85999999999</v>
      </c>
      <c r="D12" s="32">
        <f t="shared" si="7"/>
        <v>275219.3</v>
      </c>
      <c r="E12" s="32">
        <f t="shared" si="7"/>
        <v>68804.825</v>
      </c>
      <c r="F12" s="32">
        <f t="shared" si="7"/>
        <v>275219.3</v>
      </c>
      <c r="G12" s="32">
        <f t="shared" si="7"/>
        <v>137609.65</v>
      </c>
      <c r="H12" s="32">
        <f t="shared" si="7"/>
        <v>275219.3</v>
      </c>
      <c r="I12" s="32">
        <f t="shared" si="7"/>
        <v>206931.80451127817</v>
      </c>
      <c r="J12" s="32">
        <f>+SUM(J5:J10)</f>
        <v>1130564</v>
      </c>
      <c r="K12" s="32">
        <f>+SUM(K5:K10)</f>
        <v>67833.84</v>
      </c>
      <c r="L12" s="32">
        <f t="shared" si="7"/>
        <v>339169.19999999995</v>
      </c>
      <c r="M12" s="32">
        <f t="shared" si="7"/>
        <v>339169.19999999995</v>
      </c>
    </row>
    <row r="13" spans="1:13" ht="12.75">
      <c r="A13" s="1"/>
      <c r="B13" s="1"/>
      <c r="C13" s="32"/>
      <c r="D13" s="32"/>
      <c r="E13" s="32"/>
      <c r="F13" s="32"/>
      <c r="G13" s="32"/>
      <c r="H13" s="32"/>
      <c r="I13" s="32"/>
      <c r="J13" s="1"/>
      <c r="K13" s="32"/>
      <c r="L13" s="32"/>
      <c r="M13" s="32"/>
    </row>
    <row r="14" spans="1:13" ht="12.75">
      <c r="A14" s="1" t="s">
        <v>92</v>
      </c>
      <c r="B14" s="1">
        <v>180000</v>
      </c>
      <c r="C14" s="32">
        <f>+B14*0.1</f>
        <v>18000</v>
      </c>
      <c r="D14" s="32">
        <f>+$C14/0.2</f>
        <v>90000</v>
      </c>
      <c r="E14" s="32">
        <f>+D14/'Credit Values'!D33</f>
        <v>22500</v>
      </c>
      <c r="F14" s="32">
        <f>+$C14/0.2</f>
        <v>90000</v>
      </c>
      <c r="G14" s="32">
        <f>+D14/'Credit Values'!E33</f>
        <v>45000</v>
      </c>
      <c r="H14" s="32">
        <f>+$C14/0.2</f>
        <v>90000</v>
      </c>
      <c r="I14" s="32">
        <f>+D14/'Credit Values'!F33</f>
        <v>67669.17293233082</v>
      </c>
      <c r="J14" s="1">
        <v>205200</v>
      </c>
      <c r="K14" s="32">
        <f>+J14*0.1</f>
        <v>20520</v>
      </c>
      <c r="L14" s="32">
        <f>+$K14/0.2</f>
        <v>102600</v>
      </c>
      <c r="M14" s="32">
        <f>+L14</f>
        <v>102600</v>
      </c>
    </row>
    <row r="15" spans="1:13" ht="12.75">
      <c r="A15" s="1"/>
      <c r="B15" s="1"/>
      <c r="C15" s="32"/>
      <c r="D15" s="32"/>
      <c r="E15" s="32"/>
      <c r="F15" s="32"/>
      <c r="G15" s="32"/>
      <c r="H15" s="32"/>
      <c r="I15" s="32"/>
      <c r="J15" s="1"/>
      <c r="K15" s="32"/>
      <c r="L15" s="32"/>
      <c r="M15" s="32"/>
    </row>
    <row r="16" spans="1:13" ht="12.75">
      <c r="A16" s="1" t="s">
        <v>35</v>
      </c>
      <c r="B16" s="32">
        <f>+B14+B12</f>
        <v>1097397.6666666665</v>
      </c>
      <c r="C16" s="32">
        <f>+C14+C12</f>
        <v>73043.85999999999</v>
      </c>
      <c r="D16" s="32">
        <f>+D14+D12</f>
        <v>365219.3</v>
      </c>
      <c r="E16" s="32">
        <f aca="true" t="shared" si="8" ref="E16:M16">+E14+E12</f>
        <v>91304.825</v>
      </c>
      <c r="F16" s="32">
        <f t="shared" si="8"/>
        <v>365219.3</v>
      </c>
      <c r="G16" s="32">
        <f t="shared" si="8"/>
        <v>182609.65</v>
      </c>
      <c r="H16" s="32">
        <f t="shared" si="8"/>
        <v>365219.3</v>
      </c>
      <c r="I16" s="32">
        <f t="shared" si="8"/>
        <v>274600.977443609</v>
      </c>
      <c r="J16" s="32">
        <f>+J14+J12</f>
        <v>1335764</v>
      </c>
      <c r="K16" s="32">
        <f>+K14+K12</f>
        <v>88353.84</v>
      </c>
      <c r="L16" s="32">
        <f t="shared" si="8"/>
        <v>441769.19999999995</v>
      </c>
      <c r="M16" s="32">
        <f t="shared" si="8"/>
        <v>441769.19999999995</v>
      </c>
    </row>
    <row r="18" ht="12.75">
      <c r="A18" s="48" t="s">
        <v>100</v>
      </c>
    </row>
    <row r="19" spans="1:13" ht="12.75">
      <c r="A19" s="150"/>
      <c r="B19" s="150"/>
      <c r="C19" s="162" t="s">
        <v>94</v>
      </c>
      <c r="D19" s="159" t="s">
        <v>95</v>
      </c>
      <c r="E19" s="159"/>
      <c r="F19" s="159" t="s">
        <v>96</v>
      </c>
      <c r="G19" s="159"/>
      <c r="H19" s="159" t="s">
        <v>97</v>
      </c>
      <c r="I19" s="159"/>
      <c r="J19" s="160" t="s">
        <v>160</v>
      </c>
      <c r="K19" s="160" t="s">
        <v>94</v>
      </c>
      <c r="L19" s="159" t="s">
        <v>98</v>
      </c>
      <c r="M19" s="159"/>
    </row>
    <row r="20" spans="1:13" ht="12.75">
      <c r="A20" s="1" t="s">
        <v>17</v>
      </c>
      <c r="B20" s="58" t="s">
        <v>93</v>
      </c>
      <c r="C20" s="162"/>
      <c r="D20" s="32" t="s">
        <v>70</v>
      </c>
      <c r="E20" s="32" t="s">
        <v>71</v>
      </c>
      <c r="F20" s="32" t="s">
        <v>70</v>
      </c>
      <c r="G20" s="32" t="s">
        <v>71</v>
      </c>
      <c r="H20" s="32" t="s">
        <v>70</v>
      </c>
      <c r="I20" s="32" t="s">
        <v>71</v>
      </c>
      <c r="J20" s="161"/>
      <c r="K20" s="161"/>
      <c r="L20" s="32" t="s">
        <v>70</v>
      </c>
      <c r="M20" s="32" t="s">
        <v>71</v>
      </c>
    </row>
    <row r="21" spans="1:13" ht="12.75">
      <c r="A21" s="1"/>
      <c r="B21" s="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12.75">
      <c r="A22" s="1" t="s">
        <v>18</v>
      </c>
      <c r="B22" s="32">
        <f>Sales!E$42</f>
        <v>80308.66666666667</v>
      </c>
      <c r="C22" s="32">
        <f aca="true" t="shared" si="9" ref="C22:C27">+B22*0.02</f>
        <v>1606.1733333333334</v>
      </c>
      <c r="D22" s="32">
        <v>0</v>
      </c>
      <c r="E22" s="32">
        <f>+$C22/('Credit Values'!$C$47*'Credit Values'!$D$33)</f>
        <v>892.3185185185185</v>
      </c>
      <c r="F22" s="32">
        <v>0</v>
      </c>
      <c r="G22" s="32">
        <f>+$C22/('Credit Values'!$C$47*'Credit Values'!$E$33)</f>
        <v>1784.637037037037</v>
      </c>
      <c r="H22" s="32">
        <v>0</v>
      </c>
      <c r="I22" s="32">
        <f>+$C22/(('Credit Values'!$C$47*'Credit Values'!$F$33)*1.25)</f>
        <v>2146.9317738791424</v>
      </c>
      <c r="J22" s="32">
        <f>Sales!I$42</f>
        <v>163356</v>
      </c>
      <c r="K22" s="32">
        <f aca="true" t="shared" si="10" ref="K22:K27">+J22*0.02</f>
        <v>3267.12</v>
      </c>
      <c r="L22" s="32">
        <v>0</v>
      </c>
      <c r="M22" s="32">
        <f>+$K22/(('Credit Values'!$C$47*'Credit Values'!$G$33)*1.25)</f>
        <v>5808.213333333333</v>
      </c>
    </row>
    <row r="23" spans="1:13" ht="12.75">
      <c r="A23" s="1" t="s">
        <v>19</v>
      </c>
      <c r="B23" s="32">
        <f>Sales!E$46</f>
        <v>190834.33333333334</v>
      </c>
      <c r="C23" s="32">
        <f t="shared" si="9"/>
        <v>3816.686666666667</v>
      </c>
      <c r="D23" s="32">
        <v>0</v>
      </c>
      <c r="E23" s="32">
        <f>+C23/('Credit Values'!$C$47*'Credit Values'!$D$33)</f>
        <v>2120.3814814814814</v>
      </c>
      <c r="F23" s="32">
        <v>0</v>
      </c>
      <c r="G23" s="32">
        <f>+$C23/('Credit Values'!$C$47*'Credit Values'!$E$33)</f>
        <v>4240.762962962963</v>
      </c>
      <c r="H23" s="32">
        <v>0</v>
      </c>
      <c r="I23" s="32">
        <f>+$C23/(('Credit Values'!$C$47*'Credit Values'!$F$33)*1.25)</f>
        <v>5101.669729880256</v>
      </c>
      <c r="J23" s="32">
        <f>Sales!I$46</f>
        <v>213118</v>
      </c>
      <c r="K23" s="32">
        <f t="shared" si="10"/>
        <v>4262.36</v>
      </c>
      <c r="L23" s="32">
        <v>0</v>
      </c>
      <c r="M23" s="32">
        <f>+$K23/(('Credit Values'!$C$47*'Credit Values'!$G$33)*1.25)</f>
        <v>7577.528888888888</v>
      </c>
    </row>
    <row r="24" spans="1:13" ht="12.75">
      <c r="A24" s="1" t="s">
        <v>20</v>
      </c>
      <c r="B24" s="32">
        <f>Sales!E$50</f>
        <v>224335</v>
      </c>
      <c r="C24" s="32">
        <f t="shared" si="9"/>
        <v>4486.7</v>
      </c>
      <c r="D24" s="32">
        <v>0</v>
      </c>
      <c r="E24" s="32">
        <f>+C24/('Credit Values'!$C$47*'Credit Values'!$D$33)</f>
        <v>2492.611111111111</v>
      </c>
      <c r="F24" s="32">
        <v>0</v>
      </c>
      <c r="G24" s="32">
        <f>+$C24/('Credit Values'!$C$47*'Credit Values'!$E$33)</f>
        <v>4985.222222222222</v>
      </c>
      <c r="H24" s="32">
        <v>0</v>
      </c>
      <c r="I24" s="32">
        <f>+$C24/(('Credit Values'!$C$47*'Credit Values'!$F$33)*1.25)</f>
        <v>5997.2598162071845</v>
      </c>
      <c r="J24" s="32">
        <f>Sales!I$50</f>
        <v>241138</v>
      </c>
      <c r="K24" s="32">
        <f t="shared" si="10"/>
        <v>4822.76</v>
      </c>
      <c r="L24" s="32">
        <v>0</v>
      </c>
      <c r="M24" s="32">
        <f>+$K24/(('Credit Values'!$C$47*'Credit Values'!$G$33)*1.25)</f>
        <v>8573.795555555556</v>
      </c>
    </row>
    <row r="25" spans="1:13" ht="12.75">
      <c r="A25" s="1" t="s">
        <v>21</v>
      </c>
      <c r="B25" s="32">
        <f>Sales!E$54</f>
        <v>163555.66666666666</v>
      </c>
      <c r="C25" s="32">
        <f t="shared" si="9"/>
        <v>3271.1133333333332</v>
      </c>
      <c r="D25" s="32">
        <v>0</v>
      </c>
      <c r="E25" s="32">
        <f>+C25/('Credit Values'!$C$47*'Credit Values'!$D$33)</f>
        <v>1817.2851851851851</v>
      </c>
      <c r="F25" s="32">
        <v>0</v>
      </c>
      <c r="G25" s="32">
        <f>+$C25/('Credit Values'!$C$47*'Credit Values'!$E$33)</f>
        <v>3634.5703703703703</v>
      </c>
      <c r="H25" s="32">
        <v>0</v>
      </c>
      <c r="I25" s="32">
        <f>+$C25/(('Credit Values'!$C$47*'Credit Values'!$F$33)*1.25)</f>
        <v>4372.415483152325</v>
      </c>
      <c r="J25" s="32">
        <f>Sales!I$54</f>
        <v>216657</v>
      </c>
      <c r="K25" s="32">
        <f t="shared" si="10"/>
        <v>4333.14</v>
      </c>
      <c r="L25" s="32">
        <v>0</v>
      </c>
      <c r="M25" s="32">
        <f>+$K25/(('Credit Values'!$C$47*'Credit Values'!$G$33)*1.25)</f>
        <v>7703.360000000001</v>
      </c>
    </row>
    <row r="26" spans="1:13" ht="12.75">
      <c r="A26" s="1" t="s">
        <v>22</v>
      </c>
      <c r="B26" s="32">
        <f>Sales!E$58</f>
        <v>59646.333333333336</v>
      </c>
      <c r="C26" s="32">
        <f t="shared" si="9"/>
        <v>1192.9266666666667</v>
      </c>
      <c r="D26" s="32">
        <v>0</v>
      </c>
      <c r="E26" s="32">
        <f>+C26/('Credit Values'!$C$47*'Credit Values'!$D$33)</f>
        <v>662.7370370370371</v>
      </c>
      <c r="F26" s="32">
        <v>0</v>
      </c>
      <c r="G26" s="32">
        <f>+$C26/('Credit Values'!$C$47*'Credit Values'!$E$33)</f>
        <v>1325.4740740740742</v>
      </c>
      <c r="H26" s="32">
        <v>0</v>
      </c>
      <c r="I26" s="32">
        <f>+$C26/(('Credit Values'!$C$47*'Credit Values'!$F$33)*1.25)</f>
        <v>1594.555277081593</v>
      </c>
      <c r="J26" s="32">
        <f>Sales!I$58</f>
        <v>57402</v>
      </c>
      <c r="K26" s="32">
        <f t="shared" si="10"/>
        <v>1148.04</v>
      </c>
      <c r="L26" s="32">
        <v>0</v>
      </c>
      <c r="M26" s="32">
        <f>+$K26/(('Credit Values'!$C$47*'Credit Values'!$G$33)*1.25)</f>
        <v>2040.96</v>
      </c>
    </row>
    <row r="27" spans="1:13" ht="12.75">
      <c r="A27" s="1" t="s">
        <v>23</v>
      </c>
      <c r="B27" s="32">
        <f>Sales!E$62</f>
        <v>198717.66666666666</v>
      </c>
      <c r="C27" s="32">
        <f t="shared" si="9"/>
        <v>3974.353333333333</v>
      </c>
      <c r="D27" s="32">
        <v>0</v>
      </c>
      <c r="E27" s="32">
        <f>+C27/('Credit Values'!$C$47*'Credit Values'!$D$33)</f>
        <v>2207.974074074074</v>
      </c>
      <c r="F27" s="32">
        <v>0</v>
      </c>
      <c r="G27" s="32">
        <f>+$C27/('Credit Values'!$C$47*'Credit Values'!$E$33)</f>
        <v>4415.948148148148</v>
      </c>
      <c r="H27" s="32">
        <v>0</v>
      </c>
      <c r="I27" s="32">
        <f>+$C27/(('Credit Values'!$C$47*'Credit Values'!$F$33)*1.25)</f>
        <v>5312.418824839877</v>
      </c>
      <c r="J27" s="32">
        <f>Sales!I$62</f>
        <v>238893</v>
      </c>
      <c r="K27" s="32">
        <f t="shared" si="10"/>
        <v>4777.86</v>
      </c>
      <c r="L27" s="32">
        <v>0</v>
      </c>
      <c r="M27" s="32">
        <f>+$K27/(('Credit Values'!$C$47*'Credit Values'!$G$33)*1.25)</f>
        <v>8493.973333333333</v>
      </c>
    </row>
    <row r="28" spans="1:13" ht="12.75">
      <c r="A28" s="1"/>
      <c r="B28" s="1"/>
      <c r="C28" s="32"/>
      <c r="D28" s="32"/>
      <c r="E28" s="32"/>
      <c r="F28" s="32"/>
      <c r="G28" s="32"/>
      <c r="H28" s="32"/>
      <c r="I28" s="32"/>
      <c r="J28" s="1"/>
      <c r="K28" s="32"/>
      <c r="L28" s="32"/>
      <c r="M28" s="32"/>
    </row>
    <row r="29" spans="1:13" ht="12.75">
      <c r="A29" s="1" t="s">
        <v>37</v>
      </c>
      <c r="B29" s="32">
        <f aca="true" t="shared" si="11" ref="B29:M29">+SUM(B22:B27)</f>
        <v>917397.6666666666</v>
      </c>
      <c r="C29" s="32">
        <f t="shared" si="11"/>
        <v>18347.953333333335</v>
      </c>
      <c r="D29" s="32">
        <f t="shared" si="11"/>
        <v>0</v>
      </c>
      <c r="E29" s="32">
        <f t="shared" si="11"/>
        <v>10193.307407407407</v>
      </c>
      <c r="F29" s="32">
        <f t="shared" si="11"/>
        <v>0</v>
      </c>
      <c r="G29" s="32">
        <f t="shared" si="11"/>
        <v>20386.614814814813</v>
      </c>
      <c r="H29" s="32">
        <f t="shared" si="11"/>
        <v>0</v>
      </c>
      <c r="I29" s="32">
        <f t="shared" si="11"/>
        <v>24525.250905040375</v>
      </c>
      <c r="J29" s="32">
        <f>+SUM(J22:J27)</f>
        <v>1130564</v>
      </c>
      <c r="K29" s="32">
        <f>+SUM(K22:K27)</f>
        <v>22611.280000000002</v>
      </c>
      <c r="L29" s="32">
        <f t="shared" si="11"/>
        <v>0</v>
      </c>
      <c r="M29" s="32">
        <f t="shared" si="11"/>
        <v>40197.83111111111</v>
      </c>
    </row>
    <row r="30" spans="1:13" ht="12.75">
      <c r="A30" s="1"/>
      <c r="B30" s="32"/>
      <c r="C30" s="32"/>
      <c r="D30" s="32"/>
      <c r="E30" s="32"/>
      <c r="F30" s="32"/>
      <c r="G30" s="32"/>
      <c r="H30" s="32"/>
      <c r="I30" s="32"/>
      <c r="J30" s="1"/>
      <c r="K30" s="32"/>
      <c r="L30" s="32"/>
      <c r="M30" s="32"/>
    </row>
    <row r="31" spans="1:13" ht="12.75">
      <c r="A31" s="1" t="s">
        <v>92</v>
      </c>
      <c r="B31" s="32">
        <v>180000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1">
        <v>205200</v>
      </c>
      <c r="K31" s="32">
        <v>0</v>
      </c>
      <c r="L31" s="32">
        <v>0</v>
      </c>
      <c r="M31" s="32">
        <v>0</v>
      </c>
    </row>
    <row r="32" spans="1:13" ht="12.75">
      <c r="A32" s="1"/>
      <c r="B32" s="32"/>
      <c r="C32" s="32"/>
      <c r="D32" s="32"/>
      <c r="E32" s="32"/>
      <c r="F32" s="32"/>
      <c r="G32" s="32"/>
      <c r="H32" s="32"/>
      <c r="I32" s="32"/>
      <c r="J32" s="1"/>
      <c r="K32" s="32"/>
      <c r="L32" s="32"/>
      <c r="M32" s="32"/>
    </row>
    <row r="33" spans="1:13" ht="12.75">
      <c r="A33" s="1" t="s">
        <v>35</v>
      </c>
      <c r="B33" s="32">
        <f>+B31+B29</f>
        <v>1097397.6666666665</v>
      </c>
      <c r="C33" s="32">
        <f>+C31+C29</f>
        <v>18347.953333333335</v>
      </c>
      <c r="D33" s="32">
        <f>+D31+D29</f>
        <v>0</v>
      </c>
      <c r="E33" s="32">
        <f aca="true" t="shared" si="12" ref="E33:M33">+E31+E29</f>
        <v>10193.307407407407</v>
      </c>
      <c r="F33" s="32">
        <f t="shared" si="12"/>
        <v>0</v>
      </c>
      <c r="G33" s="32">
        <f t="shared" si="12"/>
        <v>20386.614814814813</v>
      </c>
      <c r="H33" s="32">
        <f t="shared" si="12"/>
        <v>0</v>
      </c>
      <c r="I33" s="32">
        <f t="shared" si="12"/>
        <v>24525.250905040375</v>
      </c>
      <c r="J33" s="32">
        <f>+J31+J29</f>
        <v>1335764</v>
      </c>
      <c r="K33" s="32">
        <f>+K31+K29</f>
        <v>22611.280000000002</v>
      </c>
      <c r="L33" s="32">
        <f t="shared" si="12"/>
        <v>0</v>
      </c>
      <c r="M33" s="32">
        <f t="shared" si="12"/>
        <v>40197.83111111111</v>
      </c>
    </row>
    <row r="35" ht="12.75">
      <c r="A35" s="48" t="s">
        <v>35</v>
      </c>
    </row>
    <row r="36" spans="1:13" ht="12.75">
      <c r="A36" s="150"/>
      <c r="B36" s="150"/>
      <c r="C36" s="162" t="s">
        <v>94</v>
      </c>
      <c r="D36" s="159" t="s">
        <v>95</v>
      </c>
      <c r="E36" s="159"/>
      <c r="F36" s="159" t="s">
        <v>96</v>
      </c>
      <c r="G36" s="159"/>
      <c r="H36" s="159" t="s">
        <v>97</v>
      </c>
      <c r="I36" s="159"/>
      <c r="J36" s="160" t="s">
        <v>160</v>
      </c>
      <c r="K36" s="160" t="s">
        <v>94</v>
      </c>
      <c r="L36" s="159" t="s">
        <v>98</v>
      </c>
      <c r="M36" s="159"/>
    </row>
    <row r="37" spans="1:13" ht="12.75">
      <c r="A37" s="1" t="s">
        <v>17</v>
      </c>
      <c r="B37" s="58" t="s">
        <v>93</v>
      </c>
      <c r="C37" s="162"/>
      <c r="D37" s="32" t="s">
        <v>70</v>
      </c>
      <c r="E37" s="32" t="s">
        <v>71</v>
      </c>
      <c r="F37" s="32" t="s">
        <v>70</v>
      </c>
      <c r="G37" s="32" t="s">
        <v>71</v>
      </c>
      <c r="H37" s="32" t="s">
        <v>70</v>
      </c>
      <c r="I37" s="32" t="s">
        <v>71</v>
      </c>
      <c r="J37" s="161"/>
      <c r="K37" s="161"/>
      <c r="L37" s="32" t="s">
        <v>70</v>
      </c>
      <c r="M37" s="32" t="s">
        <v>71</v>
      </c>
    </row>
    <row r="38" spans="1:13" ht="12.75">
      <c r="A38" s="1"/>
      <c r="B38" s="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1:13" ht="12.75">
      <c r="A39" s="1" t="s">
        <v>18</v>
      </c>
      <c r="B39" s="32">
        <f>Sales!E$42</f>
        <v>80308.66666666667</v>
      </c>
      <c r="C39" s="32">
        <f aca="true" t="shared" si="13" ref="C39:C44">+C5+C22</f>
        <v>6424.693333333334</v>
      </c>
      <c r="D39" s="32">
        <f aca="true" t="shared" si="14" ref="C39:M50">+D5+D22</f>
        <v>24092.600000000002</v>
      </c>
      <c r="E39" s="32">
        <f t="shared" si="14"/>
        <v>6915.468518518519</v>
      </c>
      <c r="F39" s="32">
        <f t="shared" si="14"/>
        <v>24092.600000000002</v>
      </c>
      <c r="G39" s="32">
        <f t="shared" si="14"/>
        <v>13830.937037037038</v>
      </c>
      <c r="H39" s="32">
        <f t="shared" si="14"/>
        <v>24092.600000000002</v>
      </c>
      <c r="I39" s="32">
        <f t="shared" si="14"/>
        <v>20261.668615984407</v>
      </c>
      <c r="J39" s="32">
        <f>Sales!I$42</f>
        <v>163356</v>
      </c>
      <c r="K39" s="32">
        <f aca="true" t="shared" si="15" ref="K39:K44">+K5+K22</f>
        <v>13068.48</v>
      </c>
      <c r="L39" s="32">
        <f t="shared" si="14"/>
        <v>49006.79999999999</v>
      </c>
      <c r="M39" s="32">
        <f t="shared" si="14"/>
        <v>54815.01333333332</v>
      </c>
    </row>
    <row r="40" spans="1:13" ht="12.75">
      <c r="A40" s="1" t="s">
        <v>19</v>
      </c>
      <c r="B40" s="32">
        <f>Sales!E$46</f>
        <v>190834.33333333334</v>
      </c>
      <c r="C40" s="32">
        <f t="shared" si="13"/>
        <v>15266.746666666666</v>
      </c>
      <c r="D40" s="32">
        <f t="shared" si="14"/>
        <v>57250.299999999996</v>
      </c>
      <c r="E40" s="32">
        <f t="shared" si="14"/>
        <v>16432.95648148148</v>
      </c>
      <c r="F40" s="32">
        <f t="shared" si="14"/>
        <v>57250.299999999996</v>
      </c>
      <c r="G40" s="32">
        <f t="shared" si="14"/>
        <v>32865.91296296296</v>
      </c>
      <c r="H40" s="32">
        <f t="shared" si="14"/>
        <v>57250.299999999996</v>
      </c>
      <c r="I40" s="32">
        <f t="shared" si="14"/>
        <v>48147.00807574491</v>
      </c>
      <c r="J40" s="32">
        <f>Sales!I$46</f>
        <v>213118</v>
      </c>
      <c r="K40" s="32">
        <f t="shared" si="15"/>
        <v>17049.44</v>
      </c>
      <c r="L40" s="32">
        <f t="shared" si="14"/>
        <v>63935.399999999994</v>
      </c>
      <c r="M40" s="32">
        <f t="shared" si="14"/>
        <v>71512.92888888888</v>
      </c>
    </row>
    <row r="41" spans="1:13" ht="12.75">
      <c r="A41" s="1" t="s">
        <v>20</v>
      </c>
      <c r="B41" s="32">
        <f>Sales!E$50</f>
        <v>224335</v>
      </c>
      <c r="C41" s="32">
        <f t="shared" si="13"/>
        <v>17946.8</v>
      </c>
      <c r="D41" s="32">
        <f t="shared" si="14"/>
        <v>67300.5</v>
      </c>
      <c r="E41" s="32">
        <f t="shared" si="14"/>
        <v>19317.73611111111</v>
      </c>
      <c r="F41" s="32">
        <f t="shared" si="14"/>
        <v>67300.5</v>
      </c>
      <c r="G41" s="32">
        <f t="shared" si="14"/>
        <v>38635.47222222222</v>
      </c>
      <c r="H41" s="32">
        <f t="shared" si="14"/>
        <v>67300.5</v>
      </c>
      <c r="I41" s="32">
        <f t="shared" si="14"/>
        <v>56599.1395154553</v>
      </c>
      <c r="J41" s="32">
        <f>Sales!I$50</f>
        <v>241138</v>
      </c>
      <c r="K41" s="32">
        <f t="shared" si="15"/>
        <v>19291.04</v>
      </c>
      <c r="L41" s="32">
        <f t="shared" si="14"/>
        <v>72341.4</v>
      </c>
      <c r="M41" s="32">
        <f t="shared" si="14"/>
        <v>80915.19555555555</v>
      </c>
    </row>
    <row r="42" spans="1:13" ht="12.75">
      <c r="A42" s="1" t="s">
        <v>21</v>
      </c>
      <c r="B42" s="32">
        <f>Sales!E$54</f>
        <v>163555.66666666666</v>
      </c>
      <c r="C42" s="32">
        <f t="shared" si="13"/>
        <v>13084.453333333331</v>
      </c>
      <c r="D42" s="32">
        <f t="shared" si="14"/>
        <v>49066.69999999999</v>
      </c>
      <c r="E42" s="32">
        <f t="shared" si="14"/>
        <v>14083.960185185182</v>
      </c>
      <c r="F42" s="32">
        <f t="shared" si="14"/>
        <v>49066.69999999999</v>
      </c>
      <c r="G42" s="32">
        <f t="shared" si="14"/>
        <v>28167.920370370364</v>
      </c>
      <c r="H42" s="32">
        <f t="shared" si="14"/>
        <v>49066.69999999999</v>
      </c>
      <c r="I42" s="32">
        <f t="shared" si="14"/>
        <v>41264.67112225006</v>
      </c>
      <c r="J42" s="32">
        <f>Sales!I$54</f>
        <v>216657</v>
      </c>
      <c r="K42" s="32">
        <f t="shared" si="15"/>
        <v>17332.56</v>
      </c>
      <c r="L42" s="32">
        <f t="shared" si="14"/>
        <v>64997.1</v>
      </c>
      <c r="M42" s="32">
        <f t="shared" si="14"/>
        <v>72700.45999999999</v>
      </c>
    </row>
    <row r="43" spans="1:13" ht="12.75">
      <c r="A43" s="1" t="s">
        <v>22</v>
      </c>
      <c r="B43" s="32">
        <f>Sales!E$58</f>
        <v>59646.333333333336</v>
      </c>
      <c r="C43" s="32">
        <f t="shared" si="13"/>
        <v>4771.706666666667</v>
      </c>
      <c r="D43" s="32">
        <f t="shared" si="14"/>
        <v>17893.9</v>
      </c>
      <c r="E43" s="32">
        <f t="shared" si="14"/>
        <v>5136.212037037038</v>
      </c>
      <c r="F43" s="32">
        <f t="shared" si="14"/>
        <v>17893.9</v>
      </c>
      <c r="G43" s="32">
        <f t="shared" si="14"/>
        <v>10272.424074074075</v>
      </c>
      <c r="H43" s="32">
        <f t="shared" si="14"/>
        <v>17893.9</v>
      </c>
      <c r="I43" s="32">
        <f t="shared" si="14"/>
        <v>15048.615427457535</v>
      </c>
      <c r="J43" s="32">
        <f>Sales!I$58</f>
        <v>57402</v>
      </c>
      <c r="K43" s="32">
        <f t="shared" si="15"/>
        <v>4592.16</v>
      </c>
      <c r="L43" s="32">
        <f t="shared" si="14"/>
        <v>17220.6</v>
      </c>
      <c r="M43" s="32">
        <f t="shared" si="14"/>
        <v>19261.559999999998</v>
      </c>
    </row>
    <row r="44" spans="1:13" ht="12.75">
      <c r="A44" s="1" t="s">
        <v>23</v>
      </c>
      <c r="B44" s="32">
        <f>Sales!E$62</f>
        <v>198717.66666666666</v>
      </c>
      <c r="C44" s="32">
        <f t="shared" si="13"/>
        <v>15897.413333333332</v>
      </c>
      <c r="D44" s="32">
        <f t="shared" si="14"/>
        <v>59615.299999999996</v>
      </c>
      <c r="E44" s="32">
        <f t="shared" si="14"/>
        <v>17111.79907407407</v>
      </c>
      <c r="F44" s="32">
        <f t="shared" si="14"/>
        <v>59615.299999999996</v>
      </c>
      <c r="G44" s="32">
        <f t="shared" si="14"/>
        <v>34223.59814814814</v>
      </c>
      <c r="H44" s="32">
        <f t="shared" si="14"/>
        <v>59615.299999999996</v>
      </c>
      <c r="I44" s="32">
        <f t="shared" si="14"/>
        <v>50135.95265942634</v>
      </c>
      <c r="J44" s="32">
        <f>Sales!I$62</f>
        <v>238893</v>
      </c>
      <c r="K44" s="32">
        <f t="shared" si="15"/>
        <v>19111.44</v>
      </c>
      <c r="L44" s="32">
        <f t="shared" si="14"/>
        <v>71667.9</v>
      </c>
      <c r="M44" s="32">
        <f t="shared" si="14"/>
        <v>80161.87333333332</v>
      </c>
    </row>
    <row r="45" spans="1:13" ht="12.75">
      <c r="A45" s="1"/>
      <c r="B45" s="1"/>
      <c r="C45" s="32"/>
      <c r="D45" s="32"/>
      <c r="E45" s="32"/>
      <c r="F45" s="32"/>
      <c r="G45" s="32"/>
      <c r="H45" s="32"/>
      <c r="I45" s="32"/>
      <c r="J45" s="1"/>
      <c r="K45" s="32"/>
      <c r="L45" s="32"/>
      <c r="M45" s="32"/>
    </row>
    <row r="46" spans="1:13" ht="12.75">
      <c r="A46" s="1" t="s">
        <v>37</v>
      </c>
      <c r="B46" s="32">
        <f>+SUM(B39:B44)</f>
        <v>917397.6666666666</v>
      </c>
      <c r="C46" s="32">
        <f>+SUM(C39:C44)</f>
        <v>73391.81333333332</v>
      </c>
      <c r="D46" s="32">
        <f t="shared" si="14"/>
        <v>275219.3</v>
      </c>
      <c r="E46" s="32">
        <f t="shared" si="14"/>
        <v>78998.13240740741</v>
      </c>
      <c r="F46" s="32">
        <f t="shared" si="14"/>
        <v>275219.3</v>
      </c>
      <c r="G46" s="32">
        <f t="shared" si="14"/>
        <v>157996.26481481481</v>
      </c>
      <c r="H46" s="32">
        <f t="shared" si="14"/>
        <v>275219.3</v>
      </c>
      <c r="I46" s="32">
        <f t="shared" si="14"/>
        <v>231457.05541631853</v>
      </c>
      <c r="J46" s="32">
        <f>+SUM(J39:J44)</f>
        <v>1130564</v>
      </c>
      <c r="K46" s="32">
        <f>+SUM(K39:K44)</f>
        <v>90445.12000000001</v>
      </c>
      <c r="L46" s="32">
        <f t="shared" si="14"/>
        <v>339169.19999999995</v>
      </c>
      <c r="M46" s="32">
        <f t="shared" si="14"/>
        <v>379367.03111111105</v>
      </c>
    </row>
    <row r="47" spans="1:13" ht="12.75">
      <c r="A47" s="1"/>
      <c r="B47" s="32"/>
      <c r="C47" s="32"/>
      <c r="D47" s="32"/>
      <c r="E47" s="32"/>
      <c r="F47" s="32"/>
      <c r="G47" s="32"/>
      <c r="H47" s="32"/>
      <c r="I47" s="32"/>
      <c r="J47" s="1"/>
      <c r="K47" s="32"/>
      <c r="L47" s="32"/>
      <c r="M47" s="32"/>
    </row>
    <row r="48" spans="1:13" ht="12.75">
      <c r="A48" s="1" t="s">
        <v>92</v>
      </c>
      <c r="B48" s="32">
        <v>180000</v>
      </c>
      <c r="C48" s="32">
        <f t="shared" si="14"/>
        <v>18000</v>
      </c>
      <c r="D48" s="32">
        <f t="shared" si="14"/>
        <v>90000</v>
      </c>
      <c r="E48" s="32">
        <f t="shared" si="14"/>
        <v>22500</v>
      </c>
      <c r="F48" s="32">
        <f t="shared" si="14"/>
        <v>90000</v>
      </c>
      <c r="G48" s="32">
        <f t="shared" si="14"/>
        <v>45000</v>
      </c>
      <c r="H48" s="32">
        <f t="shared" si="14"/>
        <v>90000</v>
      </c>
      <c r="I48" s="32">
        <f t="shared" si="14"/>
        <v>67669.17293233082</v>
      </c>
      <c r="J48" s="1">
        <v>180000</v>
      </c>
      <c r="K48" s="32">
        <f t="shared" si="14"/>
        <v>20520</v>
      </c>
      <c r="L48" s="32">
        <f t="shared" si="14"/>
        <v>102600</v>
      </c>
      <c r="M48" s="32">
        <f t="shared" si="14"/>
        <v>102600</v>
      </c>
    </row>
    <row r="49" spans="1:13" ht="12.75">
      <c r="A49" s="1"/>
      <c r="B49" s="32"/>
      <c r="C49" s="32"/>
      <c r="D49" s="32"/>
      <c r="E49" s="32"/>
      <c r="F49" s="32"/>
      <c r="G49" s="32"/>
      <c r="H49" s="32"/>
      <c r="I49" s="32"/>
      <c r="J49" s="1"/>
      <c r="K49" s="32"/>
      <c r="L49" s="32"/>
      <c r="M49" s="32"/>
    </row>
    <row r="50" spans="1:13" ht="12.75">
      <c r="A50" s="1" t="s">
        <v>35</v>
      </c>
      <c r="B50" s="32">
        <f>+B48+B46</f>
        <v>1097397.6666666665</v>
      </c>
      <c r="C50" s="32">
        <f>+C48+C46</f>
        <v>91391.81333333332</v>
      </c>
      <c r="D50" s="32">
        <f t="shared" si="14"/>
        <v>365219.3</v>
      </c>
      <c r="E50" s="32">
        <f t="shared" si="14"/>
        <v>101498.13240740741</v>
      </c>
      <c r="F50" s="32">
        <f t="shared" si="14"/>
        <v>365219.3</v>
      </c>
      <c r="G50" s="32">
        <f t="shared" si="14"/>
        <v>202996.26481481481</v>
      </c>
      <c r="H50" s="32">
        <f t="shared" si="14"/>
        <v>365219.3</v>
      </c>
      <c r="I50" s="32">
        <f t="shared" si="14"/>
        <v>299126.22834864934</v>
      </c>
      <c r="J50" s="32">
        <f>+J48+J46</f>
        <v>1310564</v>
      </c>
      <c r="K50" s="32">
        <f>+K48+K46</f>
        <v>110965.12000000001</v>
      </c>
      <c r="L50" s="32">
        <f t="shared" si="14"/>
        <v>441769.19999999995</v>
      </c>
      <c r="M50" s="32">
        <f t="shared" si="14"/>
        <v>481967.03111111105</v>
      </c>
    </row>
  </sheetData>
  <mergeCells count="24">
    <mergeCell ref="H36:I36"/>
    <mergeCell ref="L36:M36"/>
    <mergeCell ref="A36:B36"/>
    <mergeCell ref="C36:C37"/>
    <mergeCell ref="D36:E36"/>
    <mergeCell ref="F36:G36"/>
    <mergeCell ref="J36:J37"/>
    <mergeCell ref="K36:K37"/>
    <mergeCell ref="D19:E19"/>
    <mergeCell ref="F19:G19"/>
    <mergeCell ref="H19:I19"/>
    <mergeCell ref="L19:M19"/>
    <mergeCell ref="J19:J20"/>
    <mergeCell ref="K19:K20"/>
    <mergeCell ref="C2:C3"/>
    <mergeCell ref="A19:B19"/>
    <mergeCell ref="C19:C20"/>
    <mergeCell ref="B2:B3"/>
    <mergeCell ref="D2:E2"/>
    <mergeCell ref="F2:G2"/>
    <mergeCell ref="H2:I2"/>
    <mergeCell ref="L2:M2"/>
    <mergeCell ref="J2:J3"/>
    <mergeCell ref="K2:K3"/>
  </mergeCells>
  <printOptions/>
  <pageMargins left="0.75" right="0.75" top="0.75" bottom="0.75" header="0.5" footer="0.5"/>
  <pageSetup fitToHeight="1" fitToWidth="1" horizontalDpi="300" verticalDpi="300" orientation="portrait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AE70"/>
  <sheetViews>
    <sheetView view="pageBreakPreview" zoomScale="75" zoomScaleNormal="66" zoomScaleSheetLayoutView="75" workbookViewId="0" topLeftCell="A22">
      <selection activeCell="R30" sqref="R30"/>
    </sheetView>
  </sheetViews>
  <sheetFormatPr defaultColWidth="9.140625" defaultRowHeight="12.75"/>
  <cols>
    <col min="1" max="1" width="10.57421875" style="0" customWidth="1"/>
    <col min="2" max="2" width="11.140625" style="0" customWidth="1"/>
    <col min="3" max="3" width="9.8515625" style="0" customWidth="1"/>
    <col min="4" max="5" width="11.140625" style="0" customWidth="1"/>
    <col min="9" max="9" width="12.421875" style="0" customWidth="1"/>
    <col min="10" max="10" width="9.8515625" style="0" customWidth="1"/>
    <col min="11" max="11" width="11.00390625" style="0" customWidth="1"/>
    <col min="14" max="15" width="10.28125" style="0" customWidth="1"/>
    <col min="16" max="18" width="9.140625" style="116" customWidth="1"/>
    <col min="19" max="19" width="11.00390625" style="116" customWidth="1"/>
    <col min="20" max="20" width="11.28125" style="0" customWidth="1"/>
  </cols>
  <sheetData>
    <row r="1" ht="12.75">
      <c r="A1" s="48" t="s">
        <v>174</v>
      </c>
    </row>
    <row r="2" spans="1:20" ht="12.75">
      <c r="A2" s="150" t="s">
        <v>43</v>
      </c>
      <c r="B2" s="150" t="s">
        <v>171</v>
      </c>
      <c r="C2" s="144" t="s">
        <v>187</v>
      </c>
      <c r="D2" s="144" t="s">
        <v>183</v>
      </c>
      <c r="E2" s="144" t="s">
        <v>135</v>
      </c>
      <c r="F2" s="166" t="s">
        <v>47</v>
      </c>
      <c r="G2" s="167"/>
      <c r="H2" s="167"/>
      <c r="I2" s="167"/>
      <c r="J2" s="168"/>
      <c r="K2" s="166" t="s">
        <v>100</v>
      </c>
      <c r="L2" s="167"/>
      <c r="M2" s="167"/>
      <c r="N2" s="167"/>
      <c r="O2" s="168"/>
      <c r="P2" s="166" t="s">
        <v>91</v>
      </c>
      <c r="Q2" s="167"/>
      <c r="R2" s="167"/>
      <c r="S2" s="167"/>
      <c r="T2" s="168"/>
    </row>
    <row r="3" spans="1:20" ht="12.75" customHeight="1">
      <c r="A3" s="150"/>
      <c r="B3" s="150"/>
      <c r="C3" s="172"/>
      <c r="D3" s="172"/>
      <c r="E3" s="172"/>
      <c r="F3" s="143" t="s">
        <v>172</v>
      </c>
      <c r="G3" s="143" t="s">
        <v>94</v>
      </c>
      <c r="H3" s="143" t="s">
        <v>173</v>
      </c>
      <c r="I3" s="144" t="s">
        <v>193</v>
      </c>
      <c r="J3" s="147" t="s">
        <v>182</v>
      </c>
      <c r="K3" s="143" t="s">
        <v>172</v>
      </c>
      <c r="L3" s="143" t="s">
        <v>94</v>
      </c>
      <c r="M3" s="143" t="s">
        <v>173</v>
      </c>
      <c r="N3" s="144" t="s">
        <v>193</v>
      </c>
      <c r="O3" s="163" t="s">
        <v>182</v>
      </c>
      <c r="P3" s="144" t="s">
        <v>172</v>
      </c>
      <c r="Q3" s="144" t="s">
        <v>94</v>
      </c>
      <c r="R3" s="144" t="s">
        <v>173</v>
      </c>
      <c r="S3" s="144" t="s">
        <v>193</v>
      </c>
      <c r="T3" s="165" t="s">
        <v>182</v>
      </c>
    </row>
    <row r="4" spans="1:20" ht="12.75">
      <c r="A4" s="150"/>
      <c r="B4" s="150"/>
      <c r="C4" s="145"/>
      <c r="D4" s="145"/>
      <c r="E4" s="145"/>
      <c r="F4" s="143"/>
      <c r="G4" s="143"/>
      <c r="H4" s="143"/>
      <c r="I4" s="145"/>
      <c r="J4" s="148"/>
      <c r="K4" s="143"/>
      <c r="L4" s="143"/>
      <c r="M4" s="143"/>
      <c r="N4" s="145"/>
      <c r="O4" s="173"/>
      <c r="P4" s="145"/>
      <c r="Q4" s="145"/>
      <c r="R4" s="145"/>
      <c r="S4" s="145"/>
      <c r="T4" s="143"/>
    </row>
    <row r="5" spans="1:31" ht="12.75">
      <c r="A5" s="59">
        <v>2003</v>
      </c>
      <c r="B5" s="104">
        <f>Sales!E66</f>
        <v>917397.6666666666</v>
      </c>
      <c r="C5" s="114">
        <f>B5/(B5+B30)</f>
        <v>0.8359755943834399</v>
      </c>
      <c r="D5" s="104">
        <f>B5-E5</f>
        <v>917397.6666666666</v>
      </c>
      <c r="E5" s="111">
        <v>0</v>
      </c>
      <c r="F5" s="109">
        <v>0.02</v>
      </c>
      <c r="G5" s="104">
        <f aca="true" t="shared" si="0" ref="G5:G22">+B5*F5</f>
        <v>18347.953333333335</v>
      </c>
      <c r="H5" s="104">
        <f>Summary!E29</f>
        <v>4420.237470824074</v>
      </c>
      <c r="I5" s="115">
        <f>'2003'!N31</f>
        <v>0.004818234917562911</v>
      </c>
      <c r="J5" s="119">
        <f>I5*C5</f>
        <v>0.004027926799088699</v>
      </c>
      <c r="K5" s="109">
        <v>0.02</v>
      </c>
      <c r="L5" s="104">
        <f aca="true" t="shared" si="1" ref="L5:L22">+B5*K5</f>
        <v>18347.953333333335</v>
      </c>
      <c r="M5" s="104">
        <f>(+L5/0.45)/4</f>
        <v>10193.307407407408</v>
      </c>
      <c r="N5" s="115">
        <f>(K5/0.45)/4</f>
        <v>0.011111111111111112</v>
      </c>
      <c r="O5" s="110">
        <f>C5*N5</f>
        <v>0.009288617715371554</v>
      </c>
      <c r="P5" s="108">
        <v>0.06</v>
      </c>
      <c r="Q5" s="104">
        <f aca="true" t="shared" si="2" ref="Q5:Q22">+B5*P5</f>
        <v>55043.85999999999</v>
      </c>
      <c r="R5" s="104">
        <f>(+Q5/0.2)/4</f>
        <v>68804.82499999998</v>
      </c>
      <c r="S5" s="115">
        <f>(P5/0.2/4)</f>
        <v>0.075</v>
      </c>
      <c r="T5" s="119">
        <f>S5*C5</f>
        <v>0.062698169578758</v>
      </c>
      <c r="AE5" s="33"/>
    </row>
    <row r="6" spans="1:20" ht="12.75">
      <c r="A6" s="59">
        <v>2004</v>
      </c>
      <c r="B6" s="104">
        <f>Sales!F66</f>
        <v>917397.6666666666</v>
      </c>
      <c r="C6" s="114">
        <f>B6/(B6+B31)</f>
        <v>0.8359755943834399</v>
      </c>
      <c r="D6" s="104">
        <f>B6-E6</f>
        <v>917397.6666666666</v>
      </c>
      <c r="E6" s="111">
        <v>0</v>
      </c>
      <c r="F6" s="109">
        <v>0.02</v>
      </c>
      <c r="G6" s="104">
        <f t="shared" si="0"/>
        <v>18347.953333333335</v>
      </c>
      <c r="H6" s="104">
        <f>Summary!F29</f>
        <v>4420.237470824074</v>
      </c>
      <c r="I6" s="131">
        <f>'2004'!K31</f>
        <v>0.004818234917562911</v>
      </c>
      <c r="J6" s="119">
        <f aca="true" t="shared" si="3" ref="J6:J22">I6*C6</f>
        <v>0.004027926799088699</v>
      </c>
      <c r="K6" s="109">
        <v>0.02</v>
      </c>
      <c r="L6" s="104">
        <f t="shared" si="1"/>
        <v>18347.953333333335</v>
      </c>
      <c r="M6" s="104">
        <f>(+L6/0.45)/2</f>
        <v>20386.614814814817</v>
      </c>
      <c r="N6" s="115">
        <f>(K6/0.45)/2</f>
        <v>0.022222222222222223</v>
      </c>
      <c r="O6" s="110">
        <f aca="true" t="shared" si="4" ref="O6:O22">C6*N6</f>
        <v>0.01857723543074311</v>
      </c>
      <c r="P6" s="108">
        <v>0.06</v>
      </c>
      <c r="Q6" s="104">
        <f t="shared" si="2"/>
        <v>55043.85999999999</v>
      </c>
      <c r="R6" s="104">
        <f>(+Q6/0.2)/2</f>
        <v>137609.64999999997</v>
      </c>
      <c r="S6" s="115">
        <f>(P6/0.2)/2</f>
        <v>0.15</v>
      </c>
      <c r="T6" s="119">
        <f aca="true" t="shared" si="5" ref="T6:T22">S6*C6</f>
        <v>0.125396339157516</v>
      </c>
    </row>
    <row r="7" spans="1:20" ht="12.75">
      <c r="A7" s="59">
        <v>2005</v>
      </c>
      <c r="B7" s="104">
        <f>Sales!G66</f>
        <v>917397.6666666666</v>
      </c>
      <c r="C7" s="114">
        <f>B7/(B7+B32)</f>
        <v>0.8359755943834399</v>
      </c>
      <c r="D7" s="104">
        <f>B7-E7</f>
        <v>917397.6666666666</v>
      </c>
      <c r="E7" s="111">
        <v>0</v>
      </c>
      <c r="F7" s="109">
        <v>0.02</v>
      </c>
      <c r="G7" s="104">
        <f t="shared" si="0"/>
        <v>18347.953333333335</v>
      </c>
      <c r="H7" s="104">
        <f>Summary!G29</f>
        <v>4418.0083850226365</v>
      </c>
      <c r="I7" s="131">
        <f>'2005'!K31</f>
        <v>0.004815805125246634</v>
      </c>
      <c r="J7" s="119">
        <f t="shared" si="3"/>
        <v>0.004025895552012871</v>
      </c>
      <c r="K7" s="109">
        <v>0.02</v>
      </c>
      <c r="L7" s="104">
        <f t="shared" si="1"/>
        <v>18347.953333333335</v>
      </c>
      <c r="M7" s="104">
        <f>(+L7/(0.45*1.25))/1.33</f>
        <v>24525.25090504038</v>
      </c>
      <c r="N7" s="115">
        <f>(K7/0.45)/1.33</f>
        <v>0.03341687552213868</v>
      </c>
      <c r="O7" s="110">
        <f t="shared" si="4"/>
        <v>0.027935692377057307</v>
      </c>
      <c r="P7" s="108">
        <v>0.06</v>
      </c>
      <c r="Q7" s="104">
        <f t="shared" si="2"/>
        <v>55043.85999999999</v>
      </c>
      <c r="R7" s="104">
        <f>(+Q7/0.2)/1.33</f>
        <v>206931.80451127814</v>
      </c>
      <c r="S7" s="115">
        <f>P7/0.2</f>
        <v>0.3</v>
      </c>
      <c r="T7" s="119">
        <f t="shared" si="5"/>
        <v>0.250792678315032</v>
      </c>
    </row>
    <row r="8" spans="1:20" ht="12.75">
      <c r="A8" s="59">
        <v>2006</v>
      </c>
      <c r="B8" s="104">
        <f>Sales!I66</f>
        <v>1130564</v>
      </c>
      <c r="C8" s="114">
        <f>B8/(B8+B33)</f>
        <v>0.9009404153893109</v>
      </c>
      <c r="D8" s="104">
        <f aca="true" t="shared" si="6" ref="D8:D22">B8-E8</f>
        <v>1130564</v>
      </c>
      <c r="E8" s="104">
        <f>Sales!I65</f>
        <v>0</v>
      </c>
      <c r="F8" s="109">
        <v>0.02</v>
      </c>
      <c r="G8" s="104">
        <f t="shared" si="0"/>
        <v>22611.28</v>
      </c>
      <c r="H8" s="104">
        <f>Summary!H29</f>
        <v>6570.033682114932</v>
      </c>
      <c r="I8" s="115">
        <f>'2006'!K31</f>
        <v>0.005811288597651201</v>
      </c>
      <c r="J8" s="119">
        <f t="shared" si="3"/>
        <v>0.0052356247631150385</v>
      </c>
      <c r="K8" s="109">
        <v>0.02</v>
      </c>
      <c r="L8" s="104">
        <f t="shared" si="1"/>
        <v>22611.28</v>
      </c>
      <c r="M8" s="104">
        <f>(+L8/(0.45*1.25))</f>
        <v>40197.83111111111</v>
      </c>
      <c r="N8" s="115">
        <f>(+K8/(0.45*1.25))</f>
        <v>0.035555555555555556</v>
      </c>
      <c r="O8" s="110">
        <f t="shared" si="4"/>
        <v>0.032033436991619944</v>
      </c>
      <c r="P8" s="108">
        <v>0.06</v>
      </c>
      <c r="Q8" s="104">
        <f t="shared" si="2"/>
        <v>67833.84</v>
      </c>
      <c r="R8" s="104">
        <f>(+Q8/0.2)</f>
        <v>339169.19999999995</v>
      </c>
      <c r="S8" s="115">
        <f aca="true" t="shared" si="7" ref="S8:S22">P8/0.2</f>
        <v>0.3</v>
      </c>
      <c r="T8" s="119">
        <f t="shared" si="5"/>
        <v>0.27028212461679324</v>
      </c>
    </row>
    <row r="9" spans="1:20" ht="12.75">
      <c r="A9" s="59">
        <v>2007</v>
      </c>
      <c r="B9" s="104">
        <f>Sales!J66</f>
        <v>1258525.72</v>
      </c>
      <c r="C9" s="114">
        <f>D9/(D9+$B$33)</f>
        <v>0.9009404153893109</v>
      </c>
      <c r="D9" s="104">
        <f t="shared" si="6"/>
        <v>1130564</v>
      </c>
      <c r="E9" s="104">
        <f>Sales!J65</f>
        <v>127961.72000000002</v>
      </c>
      <c r="F9" s="109">
        <v>0.02</v>
      </c>
      <c r="G9" s="104">
        <f t="shared" si="0"/>
        <v>25170.5144</v>
      </c>
      <c r="H9" s="104">
        <f>Summary!I29</f>
        <v>7360.103697183642</v>
      </c>
      <c r="I9" s="115">
        <f>'2007'!K31</f>
        <v>0.0058481948999688635</v>
      </c>
      <c r="J9" s="119">
        <f t="shared" si="3"/>
        <v>0.005268875142455598</v>
      </c>
      <c r="K9" s="109">
        <v>0.02</v>
      </c>
      <c r="L9" s="104">
        <f t="shared" si="1"/>
        <v>25170.5144</v>
      </c>
      <c r="M9" s="104">
        <f aca="true" t="shared" si="8" ref="M9:M22">(+L9/(0.45*1.25))</f>
        <v>44747.581155555556</v>
      </c>
      <c r="N9" s="115">
        <f aca="true" t="shared" si="9" ref="N9:N22">(+K9/(0.45*1.25))</f>
        <v>0.035555555555555556</v>
      </c>
      <c r="O9" s="110">
        <f t="shared" si="4"/>
        <v>0.032033436991619944</v>
      </c>
      <c r="P9" s="108">
        <v>0.06</v>
      </c>
      <c r="Q9" s="104">
        <f t="shared" si="2"/>
        <v>75511.5432</v>
      </c>
      <c r="R9" s="104">
        <f aca="true" t="shared" si="10" ref="R9:R22">(+Q9/0.2)</f>
        <v>377557.71599999996</v>
      </c>
      <c r="S9" s="115">
        <f t="shared" si="7"/>
        <v>0.3</v>
      </c>
      <c r="T9" s="119">
        <f t="shared" si="5"/>
        <v>0.27028212461679324</v>
      </c>
    </row>
    <row r="10" spans="1:20" ht="12.75">
      <c r="A10" s="59">
        <v>2008</v>
      </c>
      <c r="B10" s="104">
        <f>Sales!K66</f>
        <v>1386487.44</v>
      </c>
      <c r="C10" s="114">
        <f aca="true" t="shared" si="11" ref="C10:C22">D10/(D10+$B$33)</f>
        <v>0.9009404153893109</v>
      </c>
      <c r="D10" s="104">
        <f t="shared" si="6"/>
        <v>1130564</v>
      </c>
      <c r="E10" s="104">
        <f>Sales!K65</f>
        <v>255923.44000000003</v>
      </c>
      <c r="F10" s="109">
        <v>0.02</v>
      </c>
      <c r="G10" s="104">
        <f t="shared" si="0"/>
        <v>27729.7488</v>
      </c>
      <c r="H10" s="104">
        <f>Summary!J29</f>
        <v>8066.789080779857</v>
      </c>
      <c r="I10" s="115">
        <f>'2008'!K31</f>
        <v>0.0058181479673410225</v>
      </c>
      <c r="J10" s="119">
        <f t="shared" si="3"/>
        <v>0.005241804646492695</v>
      </c>
      <c r="K10" s="109">
        <v>0.02</v>
      </c>
      <c r="L10" s="104">
        <f t="shared" si="1"/>
        <v>27729.7488</v>
      </c>
      <c r="M10" s="104">
        <f t="shared" si="8"/>
        <v>49297.3312</v>
      </c>
      <c r="N10" s="115">
        <f t="shared" si="9"/>
        <v>0.035555555555555556</v>
      </c>
      <c r="O10" s="110">
        <f t="shared" si="4"/>
        <v>0.032033436991619944</v>
      </c>
      <c r="P10" s="108">
        <v>0.06</v>
      </c>
      <c r="Q10" s="104">
        <f t="shared" si="2"/>
        <v>83189.24639999999</v>
      </c>
      <c r="R10" s="104">
        <f t="shared" si="10"/>
        <v>415946.2319999999</v>
      </c>
      <c r="S10" s="115">
        <f t="shared" si="7"/>
        <v>0.3</v>
      </c>
      <c r="T10" s="119">
        <f t="shared" si="5"/>
        <v>0.27028212461679324</v>
      </c>
    </row>
    <row r="11" spans="1:20" ht="12.75">
      <c r="A11" s="59">
        <v>2009</v>
      </c>
      <c r="B11" s="104">
        <f>Sales!M66</f>
        <v>1514449.1600000001</v>
      </c>
      <c r="C11" s="114">
        <f t="shared" si="11"/>
        <v>0.9009404153893109</v>
      </c>
      <c r="D11" s="104">
        <f t="shared" si="6"/>
        <v>1130564</v>
      </c>
      <c r="E11" s="104">
        <f>Sales!M65</f>
        <v>383885.16000000003</v>
      </c>
      <c r="F11" s="108">
        <v>0.025</v>
      </c>
      <c r="G11" s="104">
        <f t="shared" si="0"/>
        <v>37861.22900000001</v>
      </c>
      <c r="H11" s="104">
        <f>Summary!K29</f>
        <v>11507.76215283782</v>
      </c>
      <c r="I11" s="115">
        <f>'2009'!K31</f>
        <v>0.007598645406385132</v>
      </c>
      <c r="J11" s="119">
        <f t="shared" si="3"/>
        <v>0.006845926748824701</v>
      </c>
      <c r="K11" s="108">
        <v>0.025</v>
      </c>
      <c r="L11" s="104">
        <f t="shared" si="1"/>
        <v>37861.22900000001</v>
      </c>
      <c r="M11" s="104">
        <f t="shared" si="8"/>
        <v>67308.85155555556</v>
      </c>
      <c r="N11" s="115">
        <f t="shared" si="9"/>
        <v>0.044444444444444446</v>
      </c>
      <c r="O11" s="110">
        <f t="shared" si="4"/>
        <v>0.04004179623952493</v>
      </c>
      <c r="P11" s="108">
        <v>0.06</v>
      </c>
      <c r="Q11" s="104">
        <f t="shared" si="2"/>
        <v>90866.9496</v>
      </c>
      <c r="R11" s="104">
        <f t="shared" si="10"/>
        <v>454334.748</v>
      </c>
      <c r="S11" s="115">
        <f t="shared" si="7"/>
        <v>0.3</v>
      </c>
      <c r="T11" s="119">
        <f t="shared" si="5"/>
        <v>0.27028212461679324</v>
      </c>
    </row>
    <row r="12" spans="1:20" ht="12.75">
      <c r="A12" s="59">
        <v>2010</v>
      </c>
      <c r="B12" s="104">
        <f>Sales!N66</f>
        <v>1642410.8800000001</v>
      </c>
      <c r="C12" s="114">
        <f t="shared" si="11"/>
        <v>0.9009404153893109</v>
      </c>
      <c r="D12" s="104">
        <f t="shared" si="6"/>
        <v>1130564</v>
      </c>
      <c r="E12" s="104">
        <f>Sales!N65</f>
        <v>511846.88000000006</v>
      </c>
      <c r="F12" s="108">
        <v>0.025</v>
      </c>
      <c r="G12" s="104">
        <f t="shared" si="0"/>
        <v>41060.272000000004</v>
      </c>
      <c r="H12" s="104">
        <f>Summary!L29</f>
        <v>12759.372373909384</v>
      </c>
      <c r="I12" s="115">
        <f>'2010'!K31</f>
        <v>0.007768684760484162</v>
      </c>
      <c r="J12" s="119">
        <f t="shared" si="3"/>
        <v>0.006999122075139211</v>
      </c>
      <c r="K12" s="108">
        <v>0.025</v>
      </c>
      <c r="L12" s="104">
        <f t="shared" si="1"/>
        <v>41060.272000000004</v>
      </c>
      <c r="M12" s="104">
        <f t="shared" si="8"/>
        <v>72996.03911111112</v>
      </c>
      <c r="N12" s="115">
        <f t="shared" si="9"/>
        <v>0.044444444444444446</v>
      </c>
      <c r="O12" s="110">
        <f t="shared" si="4"/>
        <v>0.04004179623952493</v>
      </c>
      <c r="P12" s="108">
        <v>0.06</v>
      </c>
      <c r="Q12" s="104">
        <f t="shared" si="2"/>
        <v>98544.65280000001</v>
      </c>
      <c r="R12" s="104">
        <f t="shared" si="10"/>
        <v>492723.264</v>
      </c>
      <c r="S12" s="115">
        <f t="shared" si="7"/>
        <v>0.3</v>
      </c>
      <c r="T12" s="119">
        <f t="shared" si="5"/>
        <v>0.27028212461679324</v>
      </c>
    </row>
    <row r="13" spans="1:20" ht="12.75">
      <c r="A13" s="59">
        <v>2011</v>
      </c>
      <c r="B13" s="104">
        <f>Sales!O66</f>
        <v>1770372.6</v>
      </c>
      <c r="C13" s="114">
        <f t="shared" si="11"/>
        <v>0.9009404153893109</v>
      </c>
      <c r="D13" s="104">
        <f t="shared" si="6"/>
        <v>1130564</v>
      </c>
      <c r="E13" s="104">
        <f>Sales!O65</f>
        <v>639808.6</v>
      </c>
      <c r="F13" s="108">
        <v>0.025</v>
      </c>
      <c r="G13" s="104">
        <f t="shared" si="0"/>
        <v>44259.315</v>
      </c>
      <c r="H13" s="104">
        <f>Summary!M29</f>
        <v>13796.035705327518</v>
      </c>
      <c r="I13" s="115">
        <f>'2011'!K31</f>
        <v>0.007792730019278156</v>
      </c>
      <c r="J13" s="119">
        <f t="shared" si="3"/>
        <v>0.007020785420585214</v>
      </c>
      <c r="K13" s="108">
        <v>0.025</v>
      </c>
      <c r="L13" s="104">
        <f t="shared" si="1"/>
        <v>44259.315</v>
      </c>
      <c r="M13" s="104">
        <f t="shared" si="8"/>
        <v>78683.22666666667</v>
      </c>
      <c r="N13" s="115">
        <f t="shared" si="9"/>
        <v>0.044444444444444446</v>
      </c>
      <c r="O13" s="110">
        <f t="shared" si="4"/>
        <v>0.04004179623952493</v>
      </c>
      <c r="P13" s="108">
        <v>0.06</v>
      </c>
      <c r="Q13" s="104">
        <f t="shared" si="2"/>
        <v>106222.356</v>
      </c>
      <c r="R13" s="104">
        <f t="shared" si="10"/>
        <v>531111.7799999999</v>
      </c>
      <c r="S13" s="115">
        <f t="shared" si="7"/>
        <v>0.3</v>
      </c>
      <c r="T13" s="119">
        <f t="shared" si="5"/>
        <v>0.27028212461679324</v>
      </c>
    </row>
    <row r="14" spans="1:20" ht="12.75">
      <c r="A14" s="59">
        <v>2012</v>
      </c>
      <c r="B14" s="104">
        <f>Sales!Q66</f>
        <v>1883280</v>
      </c>
      <c r="C14" s="114">
        <f t="shared" si="11"/>
        <v>0.9009404153893109</v>
      </c>
      <c r="D14" s="104">
        <f t="shared" si="6"/>
        <v>1130564</v>
      </c>
      <c r="E14" s="104">
        <f>Sales!Q65</f>
        <v>752716</v>
      </c>
      <c r="F14" s="109">
        <v>0.03</v>
      </c>
      <c r="G14" s="104">
        <f t="shared" si="0"/>
        <v>56498.4</v>
      </c>
      <c r="H14" s="104">
        <f>Summary!N29</f>
        <v>19066.356161614203</v>
      </c>
      <c r="I14" s="115">
        <f>'2012'!K31</f>
        <v>0.010124015633158217</v>
      </c>
      <c r="J14" s="119">
        <f t="shared" si="3"/>
        <v>0.009121134849945442</v>
      </c>
      <c r="K14" s="109">
        <v>0.03</v>
      </c>
      <c r="L14" s="104">
        <f t="shared" si="1"/>
        <v>56498.4</v>
      </c>
      <c r="M14" s="104">
        <f t="shared" si="8"/>
        <v>100441.6</v>
      </c>
      <c r="N14" s="115">
        <f t="shared" si="9"/>
        <v>0.05333333333333333</v>
      </c>
      <c r="O14" s="110">
        <f t="shared" si="4"/>
        <v>0.04805015548742991</v>
      </c>
      <c r="P14" s="108">
        <v>0.06</v>
      </c>
      <c r="Q14" s="104">
        <f t="shared" si="2"/>
        <v>112996.8</v>
      </c>
      <c r="R14" s="104">
        <f t="shared" si="10"/>
        <v>564984</v>
      </c>
      <c r="S14" s="115">
        <f t="shared" si="7"/>
        <v>0.3</v>
      </c>
      <c r="T14" s="119">
        <f t="shared" si="5"/>
        <v>0.27028212461679324</v>
      </c>
    </row>
    <row r="15" spans="1:20" ht="12.75">
      <c r="A15" s="59">
        <v>2013</v>
      </c>
      <c r="B15" s="104">
        <f>Sales!R66</f>
        <v>1883280</v>
      </c>
      <c r="C15" s="114">
        <f t="shared" si="11"/>
        <v>0.9009404153893109</v>
      </c>
      <c r="D15" s="104">
        <f t="shared" si="6"/>
        <v>1130564</v>
      </c>
      <c r="E15" s="104">
        <f>Sales!R65</f>
        <v>752716</v>
      </c>
      <c r="F15" s="109">
        <v>0.03</v>
      </c>
      <c r="G15" s="104">
        <f t="shared" si="0"/>
        <v>56498.4</v>
      </c>
      <c r="H15" s="104">
        <f>Summary!O29</f>
        <v>19066.356161614203</v>
      </c>
      <c r="I15" s="115">
        <f>'2013'!K31</f>
        <v>0.010124015633158217</v>
      </c>
      <c r="J15" s="119">
        <f t="shared" si="3"/>
        <v>0.009121134849945442</v>
      </c>
      <c r="K15" s="109">
        <v>0.03</v>
      </c>
      <c r="L15" s="104">
        <f t="shared" si="1"/>
        <v>56498.4</v>
      </c>
      <c r="M15" s="104">
        <f t="shared" si="8"/>
        <v>100441.6</v>
      </c>
      <c r="N15" s="115">
        <f t="shared" si="9"/>
        <v>0.05333333333333333</v>
      </c>
      <c r="O15" s="110">
        <f t="shared" si="4"/>
        <v>0.04805015548742991</v>
      </c>
      <c r="P15" s="108">
        <v>0.06</v>
      </c>
      <c r="Q15" s="104">
        <f t="shared" si="2"/>
        <v>112996.8</v>
      </c>
      <c r="R15" s="104">
        <f t="shared" si="10"/>
        <v>564984</v>
      </c>
      <c r="S15" s="115">
        <f t="shared" si="7"/>
        <v>0.3</v>
      </c>
      <c r="T15" s="119">
        <f t="shared" si="5"/>
        <v>0.27028212461679324</v>
      </c>
    </row>
    <row r="16" spans="1:20" ht="12.75">
      <c r="A16" s="59">
        <v>2014</v>
      </c>
      <c r="B16" s="104">
        <f>Sales!S66</f>
        <v>1883280</v>
      </c>
      <c r="C16" s="114">
        <f t="shared" si="11"/>
        <v>0.9009404153893109</v>
      </c>
      <c r="D16" s="104">
        <f t="shared" si="6"/>
        <v>1130564</v>
      </c>
      <c r="E16" s="104">
        <f>Sales!S65</f>
        <v>752716</v>
      </c>
      <c r="F16" s="109">
        <v>0.03</v>
      </c>
      <c r="G16" s="104">
        <f t="shared" si="0"/>
        <v>56498.4</v>
      </c>
      <c r="H16" s="104">
        <f>Summary!P29</f>
        <v>19066.356161614203</v>
      </c>
      <c r="I16" s="115">
        <f>'2014'!K31</f>
        <v>0.010124015633158217</v>
      </c>
      <c r="J16" s="119">
        <f t="shared" si="3"/>
        <v>0.009121134849945442</v>
      </c>
      <c r="K16" s="109">
        <v>0.03</v>
      </c>
      <c r="L16" s="104">
        <f t="shared" si="1"/>
        <v>56498.4</v>
      </c>
      <c r="M16" s="104">
        <f t="shared" si="8"/>
        <v>100441.6</v>
      </c>
      <c r="N16" s="115">
        <f t="shared" si="9"/>
        <v>0.05333333333333333</v>
      </c>
      <c r="O16" s="110">
        <f t="shared" si="4"/>
        <v>0.04805015548742991</v>
      </c>
      <c r="P16" s="108">
        <v>0.06</v>
      </c>
      <c r="Q16" s="104">
        <f t="shared" si="2"/>
        <v>112996.8</v>
      </c>
      <c r="R16" s="104">
        <f t="shared" si="10"/>
        <v>564984</v>
      </c>
      <c r="S16" s="115">
        <f t="shared" si="7"/>
        <v>0.3</v>
      </c>
      <c r="T16" s="119">
        <f t="shared" si="5"/>
        <v>0.27028212461679324</v>
      </c>
    </row>
    <row r="17" spans="1:20" ht="12.75">
      <c r="A17" s="59">
        <v>2015</v>
      </c>
      <c r="B17" s="104">
        <f>Sales!U66</f>
        <v>1883280</v>
      </c>
      <c r="C17" s="114">
        <f t="shared" si="11"/>
        <v>0.9009404153893109</v>
      </c>
      <c r="D17" s="104">
        <f t="shared" si="6"/>
        <v>1130564</v>
      </c>
      <c r="E17" s="104">
        <f>Sales!U65</f>
        <v>752716</v>
      </c>
      <c r="F17" s="109">
        <v>0.04</v>
      </c>
      <c r="G17" s="104">
        <f t="shared" si="0"/>
        <v>75331.2</v>
      </c>
      <c r="H17" s="104">
        <f>Summary!Q29</f>
        <v>25421.808215485602</v>
      </c>
      <c r="I17" s="115">
        <f>'2015'!K31</f>
        <v>0.01349868751087762</v>
      </c>
      <c r="J17" s="119">
        <f t="shared" si="3"/>
        <v>0.012161513133260587</v>
      </c>
      <c r="K17" s="109">
        <v>0.04</v>
      </c>
      <c r="L17" s="104">
        <f t="shared" si="1"/>
        <v>75331.2</v>
      </c>
      <c r="M17" s="104">
        <f t="shared" si="8"/>
        <v>133922.13333333333</v>
      </c>
      <c r="N17" s="115">
        <f t="shared" si="9"/>
        <v>0.07111111111111111</v>
      </c>
      <c r="O17" s="110">
        <f t="shared" si="4"/>
        <v>0.06406687398323989</v>
      </c>
      <c r="P17" s="108">
        <v>0.06</v>
      </c>
      <c r="Q17" s="104">
        <f t="shared" si="2"/>
        <v>112996.8</v>
      </c>
      <c r="R17" s="104">
        <f t="shared" si="10"/>
        <v>564984</v>
      </c>
      <c r="S17" s="115">
        <f t="shared" si="7"/>
        <v>0.3</v>
      </c>
      <c r="T17" s="119">
        <f t="shared" si="5"/>
        <v>0.27028212461679324</v>
      </c>
    </row>
    <row r="18" spans="1:20" ht="12.75">
      <c r="A18" s="59">
        <v>2016</v>
      </c>
      <c r="B18" s="104">
        <f>Sales!V66</f>
        <v>1883280</v>
      </c>
      <c r="C18" s="114">
        <f t="shared" si="11"/>
        <v>0.9009404153893109</v>
      </c>
      <c r="D18" s="104">
        <f t="shared" si="6"/>
        <v>1130564</v>
      </c>
      <c r="E18" s="104">
        <f>Sales!V65</f>
        <v>752716</v>
      </c>
      <c r="F18" s="109">
        <v>0.04</v>
      </c>
      <c r="G18" s="104">
        <f t="shared" si="0"/>
        <v>75331.2</v>
      </c>
      <c r="H18" s="104">
        <f>Summary!R29</f>
        <v>25421.808215485602</v>
      </c>
      <c r="I18" s="115">
        <f>'2016'!K31</f>
        <v>0.01349868751087762</v>
      </c>
      <c r="J18" s="119">
        <f t="shared" si="3"/>
        <v>0.012161513133260587</v>
      </c>
      <c r="K18" s="109">
        <v>0.04</v>
      </c>
      <c r="L18" s="104">
        <f t="shared" si="1"/>
        <v>75331.2</v>
      </c>
      <c r="M18" s="104">
        <f t="shared" si="8"/>
        <v>133922.13333333333</v>
      </c>
      <c r="N18" s="115">
        <f t="shared" si="9"/>
        <v>0.07111111111111111</v>
      </c>
      <c r="O18" s="110">
        <f t="shared" si="4"/>
        <v>0.06406687398323989</v>
      </c>
      <c r="P18" s="108">
        <v>0.06</v>
      </c>
      <c r="Q18" s="104">
        <f t="shared" si="2"/>
        <v>112996.8</v>
      </c>
      <c r="R18" s="104">
        <f t="shared" si="10"/>
        <v>564984</v>
      </c>
      <c r="S18" s="115">
        <f t="shared" si="7"/>
        <v>0.3</v>
      </c>
      <c r="T18" s="119">
        <f t="shared" si="5"/>
        <v>0.27028212461679324</v>
      </c>
    </row>
    <row r="19" spans="1:20" ht="12.75">
      <c r="A19" s="59">
        <v>2017</v>
      </c>
      <c r="B19" s="104">
        <f>Sales!W66</f>
        <v>1883280</v>
      </c>
      <c r="C19" s="114">
        <f t="shared" si="11"/>
        <v>0.9009404153893109</v>
      </c>
      <c r="D19" s="104">
        <f t="shared" si="6"/>
        <v>1130564</v>
      </c>
      <c r="E19" s="104">
        <f>Sales!W65</f>
        <v>752716</v>
      </c>
      <c r="F19" s="109">
        <v>0.04</v>
      </c>
      <c r="G19" s="104">
        <f t="shared" si="0"/>
        <v>75331.2</v>
      </c>
      <c r="H19" s="104">
        <f>Summary!S29</f>
        <v>25421.808215485602</v>
      </c>
      <c r="I19" s="115">
        <f>'2017'!K31</f>
        <v>0.01349868751087762</v>
      </c>
      <c r="J19" s="119">
        <f t="shared" si="3"/>
        <v>0.012161513133260587</v>
      </c>
      <c r="K19" s="109">
        <v>0.04</v>
      </c>
      <c r="L19" s="104">
        <f t="shared" si="1"/>
        <v>75331.2</v>
      </c>
      <c r="M19" s="104">
        <f t="shared" si="8"/>
        <v>133922.13333333333</v>
      </c>
      <c r="N19" s="115">
        <f t="shared" si="9"/>
        <v>0.07111111111111111</v>
      </c>
      <c r="O19" s="110">
        <f t="shared" si="4"/>
        <v>0.06406687398323989</v>
      </c>
      <c r="P19" s="108">
        <v>0.06</v>
      </c>
      <c r="Q19" s="104">
        <f t="shared" si="2"/>
        <v>112996.8</v>
      </c>
      <c r="R19" s="104">
        <f t="shared" si="10"/>
        <v>564984</v>
      </c>
      <c r="S19" s="115">
        <f t="shared" si="7"/>
        <v>0.3</v>
      </c>
      <c r="T19" s="119">
        <f t="shared" si="5"/>
        <v>0.27028212461679324</v>
      </c>
    </row>
    <row r="20" spans="1:20" ht="12.75">
      <c r="A20" s="59">
        <v>2018</v>
      </c>
      <c r="B20" s="104">
        <f>Sales!X66</f>
        <v>1883280</v>
      </c>
      <c r="C20" s="114">
        <f t="shared" si="11"/>
        <v>0.9009404153893109</v>
      </c>
      <c r="D20" s="104">
        <f t="shared" si="6"/>
        <v>1130564</v>
      </c>
      <c r="E20" s="104">
        <f>Sales!X65</f>
        <v>752716</v>
      </c>
      <c r="F20" s="109">
        <v>0.05</v>
      </c>
      <c r="G20" s="104">
        <f t="shared" si="0"/>
        <v>94164</v>
      </c>
      <c r="H20" s="104">
        <f>Summary!T29</f>
        <v>31777.260269357</v>
      </c>
      <c r="I20" s="115">
        <f>'2018'!K31</f>
        <v>0.016873359388597024</v>
      </c>
      <c r="J20" s="119">
        <f t="shared" si="3"/>
        <v>0.015201891416575731</v>
      </c>
      <c r="K20" s="109">
        <v>0.05</v>
      </c>
      <c r="L20" s="104">
        <f t="shared" si="1"/>
        <v>94164</v>
      </c>
      <c r="M20" s="104">
        <f t="shared" si="8"/>
        <v>167402.66666666666</v>
      </c>
      <c r="N20" s="115">
        <f t="shared" si="9"/>
        <v>0.08888888888888889</v>
      </c>
      <c r="O20" s="110">
        <f t="shared" si="4"/>
        <v>0.08008359247904986</v>
      </c>
      <c r="P20" s="108">
        <v>0.06</v>
      </c>
      <c r="Q20" s="104">
        <f t="shared" si="2"/>
        <v>112996.8</v>
      </c>
      <c r="R20" s="104">
        <f t="shared" si="10"/>
        <v>564984</v>
      </c>
      <c r="S20" s="115">
        <f t="shared" si="7"/>
        <v>0.3</v>
      </c>
      <c r="T20" s="119">
        <f t="shared" si="5"/>
        <v>0.27028212461679324</v>
      </c>
    </row>
    <row r="21" spans="1:20" ht="12.75">
      <c r="A21" s="59">
        <v>2019</v>
      </c>
      <c r="B21" s="104">
        <f>Sales!Y66</f>
        <v>1883280</v>
      </c>
      <c r="C21" s="114">
        <f t="shared" si="11"/>
        <v>0.9009404153893109</v>
      </c>
      <c r="D21" s="104">
        <f t="shared" si="6"/>
        <v>1130564</v>
      </c>
      <c r="E21" s="104">
        <f>Sales!Y65</f>
        <v>752716</v>
      </c>
      <c r="F21" s="109">
        <v>0.05</v>
      </c>
      <c r="G21" s="104">
        <f t="shared" si="0"/>
        <v>94164</v>
      </c>
      <c r="H21" s="104">
        <f>Summary!U29</f>
        <v>31777.260269357</v>
      </c>
      <c r="I21" s="115">
        <f>'2019'!K31</f>
        <v>0.016873359388597024</v>
      </c>
      <c r="J21" s="119">
        <f t="shared" si="3"/>
        <v>0.015201891416575731</v>
      </c>
      <c r="K21" s="109">
        <v>0.05</v>
      </c>
      <c r="L21" s="104">
        <f t="shared" si="1"/>
        <v>94164</v>
      </c>
      <c r="M21" s="104">
        <f t="shared" si="8"/>
        <v>167402.66666666666</v>
      </c>
      <c r="N21" s="115">
        <f t="shared" si="9"/>
        <v>0.08888888888888889</v>
      </c>
      <c r="O21" s="110">
        <f t="shared" si="4"/>
        <v>0.08008359247904986</v>
      </c>
      <c r="P21" s="108">
        <v>0.06</v>
      </c>
      <c r="Q21" s="104">
        <f t="shared" si="2"/>
        <v>112996.8</v>
      </c>
      <c r="R21" s="104">
        <f t="shared" si="10"/>
        <v>564984</v>
      </c>
      <c r="S21" s="115">
        <f t="shared" si="7"/>
        <v>0.3</v>
      </c>
      <c r="T21" s="119">
        <f t="shared" si="5"/>
        <v>0.27028212461679324</v>
      </c>
    </row>
    <row r="22" spans="1:20" ht="12.75">
      <c r="A22" s="59">
        <v>2020</v>
      </c>
      <c r="B22" s="104">
        <f>Sales!Z66</f>
        <v>1883280</v>
      </c>
      <c r="C22" s="114">
        <f t="shared" si="11"/>
        <v>0.9009404153893109</v>
      </c>
      <c r="D22" s="104">
        <f t="shared" si="6"/>
        <v>1130564</v>
      </c>
      <c r="E22" s="104">
        <f>Sales!Z65</f>
        <v>752716</v>
      </c>
      <c r="F22" s="109">
        <v>0.05</v>
      </c>
      <c r="G22" s="104">
        <f t="shared" si="0"/>
        <v>94164</v>
      </c>
      <c r="H22" s="104">
        <f>Summary!V29</f>
        <v>31777.260269357</v>
      </c>
      <c r="I22" s="115">
        <f>'2020'!K31</f>
        <v>0.016873359388597024</v>
      </c>
      <c r="J22" s="119">
        <f t="shared" si="3"/>
        <v>0.015201891416575731</v>
      </c>
      <c r="K22" s="109">
        <v>0.05</v>
      </c>
      <c r="L22" s="104">
        <f t="shared" si="1"/>
        <v>94164</v>
      </c>
      <c r="M22" s="104">
        <f t="shared" si="8"/>
        <v>167402.66666666666</v>
      </c>
      <c r="N22" s="115">
        <f t="shared" si="9"/>
        <v>0.08888888888888889</v>
      </c>
      <c r="O22" s="110">
        <f t="shared" si="4"/>
        <v>0.08008359247904986</v>
      </c>
      <c r="P22" s="108">
        <v>0.06</v>
      </c>
      <c r="Q22" s="104">
        <f t="shared" si="2"/>
        <v>112996.8</v>
      </c>
      <c r="R22" s="104">
        <f t="shared" si="10"/>
        <v>564984</v>
      </c>
      <c r="S22" s="115">
        <f t="shared" si="7"/>
        <v>0.3</v>
      </c>
      <c r="T22" s="119">
        <f t="shared" si="5"/>
        <v>0.27028212461679324</v>
      </c>
    </row>
    <row r="23" spans="2:19" ht="12.75">
      <c r="B23" s="33"/>
      <c r="D23" s="33"/>
      <c r="E23" s="33"/>
      <c r="F23" t="s">
        <v>40</v>
      </c>
      <c r="P23" s="111"/>
      <c r="Q23" s="111"/>
      <c r="R23" s="111"/>
      <c r="S23" s="111"/>
    </row>
    <row r="24" spans="1:19" ht="12.75">
      <c r="A24" t="s">
        <v>40</v>
      </c>
      <c r="B24" s="33" t="s">
        <v>40</v>
      </c>
      <c r="D24" s="33"/>
      <c r="E24" s="33"/>
      <c r="J24">
        <f>D7*I6</f>
        <v>4420.237470824074</v>
      </c>
      <c r="N24">
        <f>N7*B7</f>
        <v>30656.56363130047</v>
      </c>
      <c r="P24" s="111"/>
      <c r="Q24" s="111"/>
      <c r="R24" s="111"/>
      <c r="S24" s="111"/>
    </row>
    <row r="25" spans="2:19" ht="12.75">
      <c r="B25" s="33"/>
      <c r="D25" s="33"/>
      <c r="E25" s="33"/>
      <c r="P25" s="111"/>
      <c r="Q25" s="111"/>
      <c r="R25" s="111"/>
      <c r="S25" s="111"/>
    </row>
    <row r="26" spans="1:19" ht="12.75">
      <c r="A26" s="48" t="s">
        <v>175</v>
      </c>
      <c r="P26" s="111"/>
      <c r="Q26" s="111"/>
      <c r="R26" s="111"/>
      <c r="S26" s="111"/>
    </row>
    <row r="27" spans="1:20" ht="12.75">
      <c r="A27" s="150" t="s">
        <v>43</v>
      </c>
      <c r="B27" s="150" t="s">
        <v>171</v>
      </c>
      <c r="C27" s="169"/>
      <c r="D27" s="169" t="s">
        <v>183</v>
      </c>
      <c r="E27" s="169" t="s">
        <v>135</v>
      </c>
      <c r="F27" s="166" t="s">
        <v>47</v>
      </c>
      <c r="G27" s="167"/>
      <c r="H27" s="167"/>
      <c r="I27" s="168"/>
      <c r="K27" s="166" t="s">
        <v>100</v>
      </c>
      <c r="L27" s="167"/>
      <c r="M27" s="167"/>
      <c r="N27" s="168"/>
      <c r="O27" s="122"/>
      <c r="P27" s="166" t="s">
        <v>91</v>
      </c>
      <c r="Q27" s="167"/>
      <c r="R27" s="167"/>
      <c r="S27" s="167"/>
      <c r="T27" s="168"/>
    </row>
    <row r="28" spans="1:20" ht="12.75">
      <c r="A28" s="150"/>
      <c r="B28" s="150"/>
      <c r="C28" s="170"/>
      <c r="D28" s="170"/>
      <c r="E28" s="170"/>
      <c r="F28" s="143" t="s">
        <v>172</v>
      </c>
      <c r="G28" s="143" t="s">
        <v>94</v>
      </c>
      <c r="H28" s="143" t="s">
        <v>173</v>
      </c>
      <c r="I28" s="146" t="s">
        <v>193</v>
      </c>
      <c r="K28" s="143" t="s">
        <v>172</v>
      </c>
      <c r="L28" s="143" t="s">
        <v>94</v>
      </c>
      <c r="M28" s="143" t="s">
        <v>173</v>
      </c>
      <c r="N28" s="143" t="s">
        <v>193</v>
      </c>
      <c r="O28" s="164"/>
      <c r="P28" s="143" t="s">
        <v>172</v>
      </c>
      <c r="Q28" s="144" t="s">
        <v>94</v>
      </c>
      <c r="R28" s="144" t="s">
        <v>173</v>
      </c>
      <c r="S28" s="144" t="s">
        <v>196</v>
      </c>
      <c r="T28" s="163" t="s">
        <v>182</v>
      </c>
    </row>
    <row r="29" spans="1:20" ht="12.75">
      <c r="A29" s="150"/>
      <c r="B29" s="150"/>
      <c r="C29" s="171"/>
      <c r="D29" s="171"/>
      <c r="E29" s="171"/>
      <c r="F29" s="143"/>
      <c r="G29" s="143"/>
      <c r="H29" s="143"/>
      <c r="I29" s="165"/>
      <c r="K29" s="143"/>
      <c r="L29" s="143"/>
      <c r="M29" s="143"/>
      <c r="N29" s="143"/>
      <c r="O29" s="164"/>
      <c r="P29" s="143"/>
      <c r="Q29" s="145"/>
      <c r="R29" s="145"/>
      <c r="S29" s="145"/>
      <c r="T29" s="145"/>
    </row>
    <row r="30" spans="1:20" ht="12.75">
      <c r="A30" s="59">
        <v>2003</v>
      </c>
      <c r="B30" s="104">
        <v>180000</v>
      </c>
      <c r="C30" s="114">
        <f>B30/(B5+B30)</f>
        <v>0.16402440561656018</v>
      </c>
      <c r="D30" s="104">
        <f>B30</f>
        <v>180000</v>
      </c>
      <c r="E30" s="104">
        <v>0</v>
      </c>
      <c r="F30" s="108">
        <v>0</v>
      </c>
      <c r="G30" s="104">
        <f aca="true" t="shared" si="12" ref="G30:G47">+B30*F30/100</f>
        <v>0</v>
      </c>
      <c r="H30" s="104">
        <f>Summary!E55</f>
        <v>0</v>
      </c>
      <c r="I30" s="125">
        <v>0</v>
      </c>
      <c r="K30" s="108">
        <v>0</v>
      </c>
      <c r="L30" s="104">
        <f aca="true" t="shared" si="13" ref="L30:L47">+B30*K30/100</f>
        <v>0</v>
      </c>
      <c r="M30" s="104">
        <f aca="true" t="shared" si="14" ref="M30:N47">(+L30/0.45)/4</f>
        <v>0</v>
      </c>
      <c r="N30" s="126">
        <f t="shared" si="14"/>
        <v>0</v>
      </c>
      <c r="O30" s="123"/>
      <c r="P30" s="108">
        <v>0.1</v>
      </c>
      <c r="Q30" s="104">
        <f aca="true" t="shared" si="15" ref="Q30:Q47">+B30*P30</f>
        <v>18000</v>
      </c>
      <c r="R30" s="104">
        <f>(+Q30/0.2)/4</f>
        <v>22500</v>
      </c>
      <c r="S30" s="115">
        <f>(P30/4)/0.2</f>
        <v>0.125</v>
      </c>
      <c r="T30" s="119">
        <f>C30*S30</f>
        <v>0.020503050702070022</v>
      </c>
    </row>
    <row r="31" spans="1:20" ht="12.75">
      <c r="A31" s="59">
        <v>2004</v>
      </c>
      <c r="B31" s="104">
        <v>180000</v>
      </c>
      <c r="C31" s="114">
        <f>B31/(B6+B31)</f>
        <v>0.16402440561656018</v>
      </c>
      <c r="D31" s="104">
        <f>B31</f>
        <v>180000</v>
      </c>
      <c r="E31" s="104">
        <v>0</v>
      </c>
      <c r="F31" s="108">
        <v>0</v>
      </c>
      <c r="G31" s="104">
        <f t="shared" si="12"/>
        <v>0</v>
      </c>
      <c r="H31" s="104">
        <f>Summary!F55</f>
        <v>0</v>
      </c>
      <c r="I31" s="125">
        <v>0</v>
      </c>
      <c r="K31" s="108">
        <v>0</v>
      </c>
      <c r="L31" s="104">
        <f t="shared" si="13"/>
        <v>0</v>
      </c>
      <c r="M31" s="104">
        <f t="shared" si="14"/>
        <v>0</v>
      </c>
      <c r="N31" s="126">
        <f t="shared" si="14"/>
        <v>0</v>
      </c>
      <c r="O31" s="123"/>
      <c r="P31" s="108">
        <v>0.1</v>
      </c>
      <c r="Q31" s="104">
        <f t="shared" si="15"/>
        <v>18000</v>
      </c>
      <c r="R31" s="104">
        <f>(+Q31/0.2)/2</f>
        <v>45000</v>
      </c>
      <c r="S31" s="115">
        <f>(P31/2)/0.2</f>
        <v>0.25</v>
      </c>
      <c r="T31" s="119">
        <f aca="true" t="shared" si="16" ref="T31:T47">C31*S31</f>
        <v>0.041006101404140044</v>
      </c>
    </row>
    <row r="32" spans="1:20" ht="12.75">
      <c r="A32" s="59">
        <v>2005</v>
      </c>
      <c r="B32" s="104">
        <v>180000</v>
      </c>
      <c r="C32" s="114">
        <f>B32/(B7+B32)</f>
        <v>0.16402440561656018</v>
      </c>
      <c r="D32" s="104">
        <f>B32</f>
        <v>180000</v>
      </c>
      <c r="E32" s="104">
        <v>0</v>
      </c>
      <c r="F32" s="108">
        <v>0</v>
      </c>
      <c r="G32" s="104">
        <f t="shared" si="12"/>
        <v>0</v>
      </c>
      <c r="H32" s="104">
        <f>Summary!G55</f>
        <v>0</v>
      </c>
      <c r="I32" s="125">
        <v>0</v>
      </c>
      <c r="K32" s="108">
        <v>0</v>
      </c>
      <c r="L32" s="104">
        <f t="shared" si="13"/>
        <v>0</v>
      </c>
      <c r="M32" s="104">
        <f t="shared" si="14"/>
        <v>0</v>
      </c>
      <c r="N32" s="126">
        <f t="shared" si="14"/>
        <v>0</v>
      </c>
      <c r="O32" s="123"/>
      <c r="P32" s="108">
        <v>0.1</v>
      </c>
      <c r="Q32" s="104">
        <f t="shared" si="15"/>
        <v>18000</v>
      </c>
      <c r="R32" s="104">
        <f>(+Q32/0.2)/1.33</f>
        <v>67669.17293233082</v>
      </c>
      <c r="S32" s="115">
        <f>(P32/1.33)/0.2</f>
        <v>0.37593984962406013</v>
      </c>
      <c r="T32" s="119">
        <f t="shared" si="16"/>
        <v>0.06166331038216548</v>
      </c>
    </row>
    <row r="33" spans="1:20" ht="12.75">
      <c r="A33" s="59">
        <v>2006</v>
      </c>
      <c r="B33" s="104">
        <v>124307</v>
      </c>
      <c r="C33" s="114">
        <f>$B$33/($B$8+$B$33)</f>
        <v>0.09905958461068906</v>
      </c>
      <c r="D33" s="104">
        <f>B33+(D8-'[1]Fleet totals'!$B8)</f>
        <v>205200</v>
      </c>
      <c r="E33" s="104">
        <v>0</v>
      </c>
      <c r="F33" s="108">
        <v>0</v>
      </c>
      <c r="G33" s="104">
        <f t="shared" si="12"/>
        <v>0</v>
      </c>
      <c r="H33" s="104">
        <f>Summary!H55</f>
        <v>0</v>
      </c>
      <c r="I33" s="125">
        <v>0</v>
      </c>
      <c r="K33" s="108">
        <v>0</v>
      </c>
      <c r="L33" s="104">
        <f t="shared" si="13"/>
        <v>0</v>
      </c>
      <c r="M33" s="104">
        <f t="shared" si="14"/>
        <v>0</v>
      </c>
      <c r="N33" s="126">
        <f t="shared" si="14"/>
        <v>0</v>
      </c>
      <c r="O33" s="123"/>
      <c r="P33" s="108">
        <v>0.1</v>
      </c>
      <c r="Q33" s="104">
        <f t="shared" si="15"/>
        <v>12430.7</v>
      </c>
      <c r="R33" s="104">
        <f>(+Q33/0.2)</f>
        <v>62153.5</v>
      </c>
      <c r="S33" s="115">
        <f>P33/0.2</f>
        <v>0.5</v>
      </c>
      <c r="T33" s="119">
        <f t="shared" si="16"/>
        <v>0.04952979230534453</v>
      </c>
    </row>
    <row r="34" spans="1:20" ht="12.75">
      <c r="A34" s="59">
        <v>2007</v>
      </c>
      <c r="B34" s="104">
        <f>+B$33+((B$39-B$33)*0.17)</f>
        <v>148725.8</v>
      </c>
      <c r="C34" s="114">
        <f aca="true" t="shared" si="17" ref="C34:C47">$B$33/($B$8+$B$33)</f>
        <v>0.09905958461068906</v>
      </c>
      <c r="D34" s="104">
        <f>$B$33+(D9-'[1]Fleet totals'!$B$8)</f>
        <v>205200</v>
      </c>
      <c r="E34" s="104">
        <f>B34-$B$33</f>
        <v>24418.79999999999</v>
      </c>
      <c r="F34" s="108">
        <v>0</v>
      </c>
      <c r="G34" s="104">
        <f t="shared" si="12"/>
        <v>0</v>
      </c>
      <c r="H34" s="104">
        <f>Summary!I55</f>
        <v>0</v>
      </c>
      <c r="I34" s="125">
        <v>0</v>
      </c>
      <c r="K34" s="108">
        <v>0</v>
      </c>
      <c r="L34" s="104">
        <f t="shared" si="13"/>
        <v>0</v>
      </c>
      <c r="M34" s="104">
        <f t="shared" si="14"/>
        <v>0</v>
      </c>
      <c r="N34" s="126">
        <f t="shared" si="14"/>
        <v>0</v>
      </c>
      <c r="O34" s="123"/>
      <c r="P34" s="108">
        <v>0.1</v>
      </c>
      <c r="Q34" s="104">
        <f t="shared" si="15"/>
        <v>14872.58</v>
      </c>
      <c r="R34" s="104">
        <f aca="true" t="shared" si="18" ref="R34:R47">(+Q34/0.2)</f>
        <v>74362.9</v>
      </c>
      <c r="S34" s="115">
        <f aca="true" t="shared" si="19" ref="S34:S47">P34/0.2</f>
        <v>0.5</v>
      </c>
      <c r="T34" s="119">
        <f t="shared" si="16"/>
        <v>0.04952979230534453</v>
      </c>
    </row>
    <row r="35" spans="1:20" ht="12.75">
      <c r="A35" s="59">
        <v>2008</v>
      </c>
      <c r="B35" s="104">
        <f>+B$33+((B$39-B$33)*0.34)</f>
        <v>173144.6</v>
      </c>
      <c r="C35" s="114">
        <f t="shared" si="17"/>
        <v>0.09905958461068906</v>
      </c>
      <c r="D35" s="104">
        <f>$B$33+(D10-'[1]Fleet totals'!$B$8)</f>
        <v>205200</v>
      </c>
      <c r="E35" s="104">
        <f aca="true" t="shared" si="20" ref="E35:E47">B35-$B$33</f>
        <v>48837.600000000006</v>
      </c>
      <c r="F35" s="108">
        <v>0</v>
      </c>
      <c r="G35" s="104">
        <f t="shared" si="12"/>
        <v>0</v>
      </c>
      <c r="H35" s="104">
        <f>Summary!J55</f>
        <v>0</v>
      </c>
      <c r="I35" s="125">
        <v>0</v>
      </c>
      <c r="K35" s="108">
        <v>0</v>
      </c>
      <c r="L35" s="104">
        <f t="shared" si="13"/>
        <v>0</v>
      </c>
      <c r="M35" s="104">
        <f t="shared" si="14"/>
        <v>0</v>
      </c>
      <c r="N35" s="126">
        <f t="shared" si="14"/>
        <v>0</v>
      </c>
      <c r="O35" s="123"/>
      <c r="P35" s="108">
        <v>0.1</v>
      </c>
      <c r="Q35" s="104">
        <f t="shared" si="15"/>
        <v>17314.460000000003</v>
      </c>
      <c r="R35" s="104">
        <f t="shared" si="18"/>
        <v>86572.3</v>
      </c>
      <c r="S35" s="115">
        <f t="shared" si="19"/>
        <v>0.5</v>
      </c>
      <c r="T35" s="119">
        <f t="shared" si="16"/>
        <v>0.04952979230534453</v>
      </c>
    </row>
    <row r="36" spans="1:21" ht="12.75">
      <c r="A36" s="59">
        <v>2009</v>
      </c>
      <c r="B36" s="104">
        <f>+B$33+((B$39-B$33)*0.51)</f>
        <v>197563.4</v>
      </c>
      <c r="C36" s="114">
        <f t="shared" si="17"/>
        <v>0.09905958461068906</v>
      </c>
      <c r="D36" s="104">
        <f>$B$33+(D11-'[1]Fleet totals'!$B$8)</f>
        <v>205200</v>
      </c>
      <c r="E36" s="104">
        <f t="shared" si="20"/>
        <v>73256.4</v>
      </c>
      <c r="F36" s="108">
        <v>0</v>
      </c>
      <c r="G36" s="104">
        <f t="shared" si="12"/>
        <v>0</v>
      </c>
      <c r="H36" s="104">
        <f>Summary!K55</f>
        <v>0</v>
      </c>
      <c r="I36" s="125">
        <v>0</v>
      </c>
      <c r="K36" s="108">
        <v>0</v>
      </c>
      <c r="L36" s="104">
        <f t="shared" si="13"/>
        <v>0</v>
      </c>
      <c r="M36" s="104">
        <f t="shared" si="14"/>
        <v>0</v>
      </c>
      <c r="N36" s="126">
        <f t="shared" si="14"/>
        <v>0</v>
      </c>
      <c r="O36" s="123"/>
      <c r="P36" s="108">
        <v>0.1</v>
      </c>
      <c r="Q36" s="104">
        <f t="shared" si="15"/>
        <v>19756.34</v>
      </c>
      <c r="R36" s="104">
        <f t="shared" si="18"/>
        <v>98781.7</v>
      </c>
      <c r="S36" s="115">
        <f t="shared" si="19"/>
        <v>0.5</v>
      </c>
      <c r="T36" s="119">
        <f t="shared" si="16"/>
        <v>0.04952979230534453</v>
      </c>
      <c r="U36" t="s">
        <v>40</v>
      </c>
    </row>
    <row r="37" spans="1:20" ht="12.75">
      <c r="A37" s="59">
        <v>2010</v>
      </c>
      <c r="B37" s="104">
        <f>+B$33+((B$39-B$33)*0.68)</f>
        <v>221982.2</v>
      </c>
      <c r="C37" s="114">
        <f t="shared" si="17"/>
        <v>0.09905958461068906</v>
      </c>
      <c r="D37" s="104">
        <f>$B$33+(D12-'[1]Fleet totals'!$B$8)</f>
        <v>205200</v>
      </c>
      <c r="E37" s="104">
        <f t="shared" si="20"/>
        <v>97675.20000000001</v>
      </c>
      <c r="F37" s="108">
        <v>0</v>
      </c>
      <c r="G37" s="104">
        <f t="shared" si="12"/>
        <v>0</v>
      </c>
      <c r="H37" s="104">
        <f>Summary!L55</f>
        <v>0</v>
      </c>
      <c r="I37" s="125">
        <v>0</v>
      </c>
      <c r="K37" s="108">
        <v>0</v>
      </c>
      <c r="L37" s="104">
        <f t="shared" si="13"/>
        <v>0</v>
      </c>
      <c r="M37" s="104">
        <f t="shared" si="14"/>
        <v>0</v>
      </c>
      <c r="N37" s="126">
        <f t="shared" si="14"/>
        <v>0</v>
      </c>
      <c r="O37" s="123"/>
      <c r="P37" s="108">
        <v>0.1</v>
      </c>
      <c r="Q37" s="104">
        <f t="shared" si="15"/>
        <v>22198.22</v>
      </c>
      <c r="R37" s="104">
        <f t="shared" si="18"/>
        <v>110991.1</v>
      </c>
      <c r="S37" s="115">
        <f t="shared" si="19"/>
        <v>0.5</v>
      </c>
      <c r="T37" s="119">
        <f t="shared" si="16"/>
        <v>0.04952979230534453</v>
      </c>
    </row>
    <row r="38" spans="1:20" ht="12.75">
      <c r="A38" s="59">
        <v>2011</v>
      </c>
      <c r="B38" s="104">
        <f>+B$33+((B$39-B$33)*0.85)</f>
        <v>246401</v>
      </c>
      <c r="C38" s="114">
        <f t="shared" si="17"/>
        <v>0.09905958461068906</v>
      </c>
      <c r="D38" s="104">
        <f>$B$33+(D13-'[1]Fleet totals'!$B$8)</f>
        <v>205200</v>
      </c>
      <c r="E38" s="104">
        <f t="shared" si="20"/>
        <v>122094</v>
      </c>
      <c r="F38" s="108">
        <v>0</v>
      </c>
      <c r="G38" s="104">
        <f t="shared" si="12"/>
        <v>0</v>
      </c>
      <c r="H38" s="104">
        <f>Summary!M55</f>
        <v>0</v>
      </c>
      <c r="I38" s="125">
        <v>0</v>
      </c>
      <c r="K38" s="108">
        <v>0</v>
      </c>
      <c r="L38" s="104">
        <f t="shared" si="13"/>
        <v>0</v>
      </c>
      <c r="M38" s="104">
        <f t="shared" si="14"/>
        <v>0</v>
      </c>
      <c r="N38" s="126">
        <f t="shared" si="14"/>
        <v>0</v>
      </c>
      <c r="O38" s="123"/>
      <c r="P38" s="108">
        <v>0.1</v>
      </c>
      <c r="Q38" s="104">
        <f t="shared" si="15"/>
        <v>24640.100000000002</v>
      </c>
      <c r="R38" s="104">
        <f t="shared" si="18"/>
        <v>123200.5</v>
      </c>
      <c r="S38" s="115">
        <f t="shared" si="19"/>
        <v>0.5</v>
      </c>
      <c r="T38" s="119">
        <f t="shared" si="16"/>
        <v>0.04952979230534453</v>
      </c>
    </row>
    <row r="39" spans="1:20" ht="12.75">
      <c r="A39" s="59">
        <v>2012</v>
      </c>
      <c r="B39" s="104">
        <v>267947</v>
      </c>
      <c r="C39" s="114">
        <f t="shared" si="17"/>
        <v>0.09905958461068906</v>
      </c>
      <c r="D39" s="104">
        <f>$B$33+(D14-'[1]Fleet totals'!$B$8)</f>
        <v>205200</v>
      </c>
      <c r="E39" s="104">
        <f t="shared" si="20"/>
        <v>143640</v>
      </c>
      <c r="F39" s="108">
        <v>0</v>
      </c>
      <c r="G39" s="104">
        <f t="shared" si="12"/>
        <v>0</v>
      </c>
      <c r="H39" s="104">
        <f>Summary!N55</f>
        <v>0</v>
      </c>
      <c r="I39" s="125">
        <v>0</v>
      </c>
      <c r="K39" s="108">
        <v>0</v>
      </c>
      <c r="L39" s="104">
        <f t="shared" si="13"/>
        <v>0</v>
      </c>
      <c r="M39" s="104">
        <f t="shared" si="14"/>
        <v>0</v>
      </c>
      <c r="N39" s="126">
        <f t="shared" si="14"/>
        <v>0</v>
      </c>
      <c r="O39" s="123"/>
      <c r="P39" s="108">
        <v>0.1</v>
      </c>
      <c r="Q39" s="104">
        <f t="shared" si="15"/>
        <v>26794.7</v>
      </c>
      <c r="R39" s="104">
        <f t="shared" si="18"/>
        <v>133973.5</v>
      </c>
      <c r="S39" s="115">
        <f t="shared" si="19"/>
        <v>0.5</v>
      </c>
      <c r="T39" s="119">
        <f t="shared" si="16"/>
        <v>0.04952979230534453</v>
      </c>
    </row>
    <row r="40" spans="1:20" ht="12.75">
      <c r="A40" s="59">
        <v>2013</v>
      </c>
      <c r="B40" s="104">
        <v>267947</v>
      </c>
      <c r="C40" s="114">
        <f t="shared" si="17"/>
        <v>0.09905958461068906</v>
      </c>
      <c r="D40" s="104">
        <f>$B$33+(D15-'[1]Fleet totals'!$B$8)</f>
        <v>205200</v>
      </c>
      <c r="E40" s="104">
        <f t="shared" si="20"/>
        <v>143640</v>
      </c>
      <c r="F40" s="108">
        <v>0</v>
      </c>
      <c r="G40" s="104">
        <f t="shared" si="12"/>
        <v>0</v>
      </c>
      <c r="H40" s="104">
        <f>Summary!O55</f>
        <v>0</v>
      </c>
      <c r="I40" s="125">
        <v>0</v>
      </c>
      <c r="K40" s="108">
        <v>0</v>
      </c>
      <c r="L40" s="104">
        <f t="shared" si="13"/>
        <v>0</v>
      </c>
      <c r="M40" s="104">
        <f t="shared" si="14"/>
        <v>0</v>
      </c>
      <c r="N40" s="126">
        <f t="shared" si="14"/>
        <v>0</v>
      </c>
      <c r="O40" s="123"/>
      <c r="P40" s="108">
        <v>0.1</v>
      </c>
      <c r="Q40" s="104">
        <f t="shared" si="15"/>
        <v>26794.7</v>
      </c>
      <c r="R40" s="104">
        <f t="shared" si="18"/>
        <v>133973.5</v>
      </c>
      <c r="S40" s="115">
        <f t="shared" si="19"/>
        <v>0.5</v>
      </c>
      <c r="T40" s="119">
        <f t="shared" si="16"/>
        <v>0.04952979230534453</v>
      </c>
    </row>
    <row r="41" spans="1:20" ht="12.75">
      <c r="A41" s="59">
        <v>2014</v>
      </c>
      <c r="B41" s="104">
        <v>267947</v>
      </c>
      <c r="C41" s="114">
        <f t="shared" si="17"/>
        <v>0.09905958461068906</v>
      </c>
      <c r="D41" s="104">
        <f>$B$33+(D16-'[1]Fleet totals'!$B$8)</f>
        <v>205200</v>
      </c>
      <c r="E41" s="104">
        <f t="shared" si="20"/>
        <v>143640</v>
      </c>
      <c r="F41" s="108">
        <v>0</v>
      </c>
      <c r="G41" s="104">
        <f t="shared" si="12"/>
        <v>0</v>
      </c>
      <c r="H41" s="104">
        <f>Summary!P55</f>
        <v>0</v>
      </c>
      <c r="I41" s="125">
        <v>0</v>
      </c>
      <c r="K41" s="108">
        <v>0</v>
      </c>
      <c r="L41" s="104">
        <f t="shared" si="13"/>
        <v>0</v>
      </c>
      <c r="M41" s="104">
        <f t="shared" si="14"/>
        <v>0</v>
      </c>
      <c r="N41" s="126">
        <f t="shared" si="14"/>
        <v>0</v>
      </c>
      <c r="O41" s="123"/>
      <c r="P41" s="108">
        <v>0.1</v>
      </c>
      <c r="Q41" s="104">
        <f t="shared" si="15"/>
        <v>26794.7</v>
      </c>
      <c r="R41" s="104">
        <f t="shared" si="18"/>
        <v>133973.5</v>
      </c>
      <c r="S41" s="115">
        <f t="shared" si="19"/>
        <v>0.5</v>
      </c>
      <c r="T41" s="119">
        <f t="shared" si="16"/>
        <v>0.04952979230534453</v>
      </c>
    </row>
    <row r="42" spans="1:20" ht="12.75">
      <c r="A42" s="59">
        <v>2015</v>
      </c>
      <c r="B42" s="104">
        <v>267947</v>
      </c>
      <c r="C42" s="114">
        <f t="shared" si="17"/>
        <v>0.09905958461068906</v>
      </c>
      <c r="D42" s="104">
        <f>$B$33+(D17-'[1]Fleet totals'!$B$8)</f>
        <v>205200</v>
      </c>
      <c r="E42" s="104">
        <f t="shared" si="20"/>
        <v>143640</v>
      </c>
      <c r="F42" s="108">
        <v>0</v>
      </c>
      <c r="G42" s="104">
        <f t="shared" si="12"/>
        <v>0</v>
      </c>
      <c r="H42" s="104">
        <f>Summary!Q55</f>
        <v>0</v>
      </c>
      <c r="I42" s="125">
        <v>0</v>
      </c>
      <c r="K42" s="108">
        <v>0</v>
      </c>
      <c r="L42" s="104">
        <f t="shared" si="13"/>
        <v>0</v>
      </c>
      <c r="M42" s="104">
        <f t="shared" si="14"/>
        <v>0</v>
      </c>
      <c r="N42" s="126">
        <f t="shared" si="14"/>
        <v>0</v>
      </c>
      <c r="O42" s="123"/>
      <c r="P42" s="108">
        <v>0.1</v>
      </c>
      <c r="Q42" s="104">
        <f t="shared" si="15"/>
        <v>26794.7</v>
      </c>
      <c r="R42" s="104">
        <f t="shared" si="18"/>
        <v>133973.5</v>
      </c>
      <c r="S42" s="115">
        <f t="shared" si="19"/>
        <v>0.5</v>
      </c>
      <c r="T42" s="119">
        <f t="shared" si="16"/>
        <v>0.04952979230534453</v>
      </c>
    </row>
    <row r="43" spans="1:20" ht="12.75">
      <c r="A43" s="59">
        <v>2016</v>
      </c>
      <c r="B43" s="104">
        <v>267947</v>
      </c>
      <c r="C43" s="114">
        <f t="shared" si="17"/>
        <v>0.09905958461068906</v>
      </c>
      <c r="D43" s="104">
        <f>$B$33+(D18-'[1]Fleet totals'!$B$8)</f>
        <v>205200</v>
      </c>
      <c r="E43" s="104">
        <f t="shared" si="20"/>
        <v>143640</v>
      </c>
      <c r="F43" s="108">
        <v>0</v>
      </c>
      <c r="G43" s="104">
        <f t="shared" si="12"/>
        <v>0</v>
      </c>
      <c r="H43" s="104">
        <f>Summary!R55</f>
        <v>0</v>
      </c>
      <c r="I43" s="125">
        <v>0</v>
      </c>
      <c r="K43" s="108">
        <v>0</v>
      </c>
      <c r="L43" s="104">
        <f t="shared" si="13"/>
        <v>0</v>
      </c>
      <c r="M43" s="104">
        <f t="shared" si="14"/>
        <v>0</v>
      </c>
      <c r="N43" s="126">
        <f t="shared" si="14"/>
        <v>0</v>
      </c>
      <c r="O43" s="123"/>
      <c r="P43" s="108">
        <v>0.1</v>
      </c>
      <c r="Q43" s="104">
        <f t="shared" si="15"/>
        <v>26794.7</v>
      </c>
      <c r="R43" s="104">
        <f t="shared" si="18"/>
        <v>133973.5</v>
      </c>
      <c r="S43" s="115">
        <f t="shared" si="19"/>
        <v>0.5</v>
      </c>
      <c r="T43" s="119">
        <f t="shared" si="16"/>
        <v>0.04952979230534453</v>
      </c>
    </row>
    <row r="44" spans="1:20" ht="12.75">
      <c r="A44" s="59">
        <v>2017</v>
      </c>
      <c r="B44" s="104">
        <v>267947</v>
      </c>
      <c r="C44" s="114">
        <f t="shared" si="17"/>
        <v>0.09905958461068906</v>
      </c>
      <c r="D44" s="104">
        <f>$B$33+(D19-'[1]Fleet totals'!$B$8)</f>
        <v>205200</v>
      </c>
      <c r="E44" s="104">
        <f t="shared" si="20"/>
        <v>143640</v>
      </c>
      <c r="F44" s="108">
        <v>0</v>
      </c>
      <c r="G44" s="104">
        <f t="shared" si="12"/>
        <v>0</v>
      </c>
      <c r="H44" s="104">
        <f>Summary!S55</f>
        <v>0</v>
      </c>
      <c r="I44" s="125">
        <v>0</v>
      </c>
      <c r="K44" s="108">
        <v>0</v>
      </c>
      <c r="L44" s="104">
        <f t="shared" si="13"/>
        <v>0</v>
      </c>
      <c r="M44" s="104">
        <f t="shared" si="14"/>
        <v>0</v>
      </c>
      <c r="N44" s="126">
        <f t="shared" si="14"/>
        <v>0</v>
      </c>
      <c r="O44" s="123"/>
      <c r="P44" s="108">
        <v>0.1</v>
      </c>
      <c r="Q44" s="104">
        <f t="shared" si="15"/>
        <v>26794.7</v>
      </c>
      <c r="R44" s="104">
        <f t="shared" si="18"/>
        <v>133973.5</v>
      </c>
      <c r="S44" s="115">
        <f t="shared" si="19"/>
        <v>0.5</v>
      </c>
      <c r="T44" s="119">
        <f t="shared" si="16"/>
        <v>0.04952979230534453</v>
      </c>
    </row>
    <row r="45" spans="1:20" ht="12.75">
      <c r="A45" s="59">
        <v>2018</v>
      </c>
      <c r="B45" s="104">
        <v>267947</v>
      </c>
      <c r="C45" s="114">
        <f t="shared" si="17"/>
        <v>0.09905958461068906</v>
      </c>
      <c r="D45" s="104">
        <f>$B$33+(D20-'[1]Fleet totals'!$B$8)</f>
        <v>205200</v>
      </c>
      <c r="E45" s="104">
        <f t="shared" si="20"/>
        <v>143640</v>
      </c>
      <c r="F45" s="108">
        <v>0</v>
      </c>
      <c r="G45" s="104">
        <f t="shared" si="12"/>
        <v>0</v>
      </c>
      <c r="H45" s="104">
        <f>Summary!T55</f>
        <v>0</v>
      </c>
      <c r="I45" s="125">
        <v>0</v>
      </c>
      <c r="K45" s="108">
        <v>0</v>
      </c>
      <c r="L45" s="104">
        <f t="shared" si="13"/>
        <v>0</v>
      </c>
      <c r="M45" s="104">
        <f t="shared" si="14"/>
        <v>0</v>
      </c>
      <c r="N45" s="126">
        <f t="shared" si="14"/>
        <v>0</v>
      </c>
      <c r="O45" s="123"/>
      <c r="P45" s="108">
        <v>0.1</v>
      </c>
      <c r="Q45" s="104">
        <f t="shared" si="15"/>
        <v>26794.7</v>
      </c>
      <c r="R45" s="104">
        <f t="shared" si="18"/>
        <v>133973.5</v>
      </c>
      <c r="S45" s="115">
        <f t="shared" si="19"/>
        <v>0.5</v>
      </c>
      <c r="T45" s="119">
        <f t="shared" si="16"/>
        <v>0.04952979230534453</v>
      </c>
    </row>
    <row r="46" spans="1:20" ht="12.75">
      <c r="A46" s="59">
        <v>2019</v>
      </c>
      <c r="B46" s="104">
        <v>267947</v>
      </c>
      <c r="C46" s="114">
        <f t="shared" si="17"/>
        <v>0.09905958461068906</v>
      </c>
      <c r="D46" s="104">
        <f>$B$33+(D21-'[1]Fleet totals'!$B$8)</f>
        <v>205200</v>
      </c>
      <c r="E46" s="104">
        <f t="shared" si="20"/>
        <v>143640</v>
      </c>
      <c r="F46" s="108">
        <v>0</v>
      </c>
      <c r="G46" s="104">
        <f t="shared" si="12"/>
        <v>0</v>
      </c>
      <c r="H46" s="104">
        <f>Summary!U55</f>
        <v>0</v>
      </c>
      <c r="I46" s="125">
        <v>0</v>
      </c>
      <c r="K46" s="108">
        <v>0</v>
      </c>
      <c r="L46" s="104">
        <f t="shared" si="13"/>
        <v>0</v>
      </c>
      <c r="M46" s="104">
        <f t="shared" si="14"/>
        <v>0</v>
      </c>
      <c r="N46" s="126">
        <f t="shared" si="14"/>
        <v>0</v>
      </c>
      <c r="O46" s="123"/>
      <c r="P46" s="108">
        <v>0.1</v>
      </c>
      <c r="Q46" s="104">
        <f t="shared" si="15"/>
        <v>26794.7</v>
      </c>
      <c r="R46" s="104">
        <f t="shared" si="18"/>
        <v>133973.5</v>
      </c>
      <c r="S46" s="115">
        <f t="shared" si="19"/>
        <v>0.5</v>
      </c>
      <c r="T46" s="119">
        <f t="shared" si="16"/>
        <v>0.04952979230534453</v>
      </c>
    </row>
    <row r="47" spans="1:20" ht="12.75">
      <c r="A47" s="59">
        <v>2020</v>
      </c>
      <c r="B47" s="104">
        <v>267947</v>
      </c>
      <c r="C47" s="114">
        <f t="shared" si="17"/>
        <v>0.09905958461068906</v>
      </c>
      <c r="D47" s="104">
        <f>$B$33+(D22-'[1]Fleet totals'!$B$8)</f>
        <v>205200</v>
      </c>
      <c r="E47" s="104">
        <f t="shared" si="20"/>
        <v>143640</v>
      </c>
      <c r="F47" s="108">
        <v>0</v>
      </c>
      <c r="G47" s="104">
        <f t="shared" si="12"/>
        <v>0</v>
      </c>
      <c r="H47" s="104">
        <f>Summary!V55</f>
        <v>0</v>
      </c>
      <c r="I47" s="125">
        <v>0</v>
      </c>
      <c r="K47" s="108">
        <v>0</v>
      </c>
      <c r="L47" s="104">
        <f t="shared" si="13"/>
        <v>0</v>
      </c>
      <c r="M47" s="104">
        <f t="shared" si="14"/>
        <v>0</v>
      </c>
      <c r="N47" s="126">
        <f t="shared" si="14"/>
        <v>0</v>
      </c>
      <c r="O47" s="123"/>
      <c r="P47" s="108">
        <v>0.1</v>
      </c>
      <c r="Q47" s="104">
        <f t="shared" si="15"/>
        <v>26794.7</v>
      </c>
      <c r="R47" s="104">
        <f t="shared" si="18"/>
        <v>133973.5</v>
      </c>
      <c r="S47" s="115">
        <f t="shared" si="19"/>
        <v>0.5</v>
      </c>
      <c r="T47" s="119">
        <f t="shared" si="16"/>
        <v>0.04952979230534453</v>
      </c>
    </row>
    <row r="48" spans="2:20" ht="12.75">
      <c r="B48" s="33"/>
      <c r="D48" s="33"/>
      <c r="E48" s="33"/>
      <c r="F48" s="102"/>
      <c r="G48" s="33"/>
      <c r="H48" s="33"/>
      <c r="I48" s="33"/>
      <c r="K48" s="102"/>
      <c r="L48" s="33"/>
      <c r="M48" s="33"/>
      <c r="N48" s="33"/>
      <c r="O48" s="33"/>
      <c r="P48" s="112"/>
      <c r="Q48" s="113"/>
      <c r="R48" s="113"/>
      <c r="S48" s="111"/>
      <c r="T48" t="s">
        <v>40</v>
      </c>
    </row>
    <row r="49" spans="1:19" ht="12.75">
      <c r="A49" s="48" t="s">
        <v>176</v>
      </c>
      <c r="P49" s="111"/>
      <c r="Q49" s="111"/>
      <c r="R49" s="111"/>
      <c r="S49" s="111"/>
    </row>
    <row r="50" spans="1:20" ht="12.75" customHeight="1">
      <c r="A50" s="150" t="s">
        <v>43</v>
      </c>
      <c r="B50" s="150" t="s">
        <v>171</v>
      </c>
      <c r="D50" s="124"/>
      <c r="E50" s="124"/>
      <c r="F50" s="166" t="s">
        <v>47</v>
      </c>
      <c r="G50" s="167"/>
      <c r="H50" s="167"/>
      <c r="I50" s="167"/>
      <c r="J50" s="168"/>
      <c r="K50" s="166" t="s">
        <v>100</v>
      </c>
      <c r="L50" s="167"/>
      <c r="M50" s="167"/>
      <c r="N50" s="167"/>
      <c r="O50" s="168"/>
      <c r="P50" s="166" t="s">
        <v>91</v>
      </c>
      <c r="Q50" s="167"/>
      <c r="R50" s="167"/>
      <c r="S50" s="167"/>
      <c r="T50" s="168"/>
    </row>
    <row r="51" spans="1:20" ht="12.75" customHeight="1">
      <c r="A51" s="150"/>
      <c r="B51" s="150"/>
      <c r="D51" s="124"/>
      <c r="E51" s="124"/>
      <c r="F51" s="143" t="s">
        <v>172</v>
      </c>
      <c r="G51" s="143" t="s">
        <v>94</v>
      </c>
      <c r="H51" s="143" t="s">
        <v>173</v>
      </c>
      <c r="I51" s="169" t="s">
        <v>188</v>
      </c>
      <c r="J51" s="175" t="s">
        <v>182</v>
      </c>
      <c r="K51" s="143" t="s">
        <v>172</v>
      </c>
      <c r="L51" s="143" t="s">
        <v>94</v>
      </c>
      <c r="M51" s="143" t="s">
        <v>181</v>
      </c>
      <c r="N51" s="169" t="s">
        <v>188</v>
      </c>
      <c r="O51" s="174" t="s">
        <v>182</v>
      </c>
      <c r="P51" s="143" t="s">
        <v>172</v>
      </c>
      <c r="Q51" s="144" t="s">
        <v>94</v>
      </c>
      <c r="R51" s="144" t="s">
        <v>173</v>
      </c>
      <c r="S51" s="144" t="s">
        <v>193</v>
      </c>
      <c r="T51" s="175" t="s">
        <v>182</v>
      </c>
    </row>
    <row r="52" spans="1:20" ht="12.75">
      <c r="A52" s="150"/>
      <c r="B52" s="150"/>
      <c r="D52" s="124"/>
      <c r="E52" s="124"/>
      <c r="F52" s="143"/>
      <c r="G52" s="143"/>
      <c r="H52" s="143"/>
      <c r="I52" s="171"/>
      <c r="J52" s="145"/>
      <c r="K52" s="143"/>
      <c r="L52" s="143"/>
      <c r="M52" s="143"/>
      <c r="N52" s="171"/>
      <c r="O52" s="143"/>
      <c r="P52" s="143"/>
      <c r="Q52" s="145"/>
      <c r="R52" s="145"/>
      <c r="S52" s="145"/>
      <c r="T52" s="176"/>
    </row>
    <row r="53" spans="1:20" ht="12.75" customHeight="1">
      <c r="A53" s="59">
        <v>2003</v>
      </c>
      <c r="B53" s="104">
        <f aca="true" t="shared" si="21" ref="B53:B70">+B30+B5</f>
        <v>1097397.6666666665</v>
      </c>
      <c r="D53" s="123"/>
      <c r="E53" s="123"/>
      <c r="F53" s="103" t="s">
        <v>107</v>
      </c>
      <c r="G53" s="104">
        <f aca="true" t="shared" si="22" ref="G53:H70">+G30+G5</f>
        <v>18347.953333333335</v>
      </c>
      <c r="H53" s="104">
        <f t="shared" si="22"/>
        <v>4420.237470824074</v>
      </c>
      <c r="I53" s="128">
        <f>J53*B53</f>
        <v>3695.210646988108</v>
      </c>
      <c r="J53" s="127">
        <f>J5*(B5/(B53))</f>
        <v>0.0033672485000011618</v>
      </c>
      <c r="K53" s="103" t="s">
        <v>107</v>
      </c>
      <c r="L53" s="104">
        <f aca="true" t="shared" si="23" ref="L53:M70">+L30+L5</f>
        <v>18347.953333333335</v>
      </c>
      <c r="M53" s="104">
        <f t="shared" si="23"/>
        <v>10193.307407407408</v>
      </c>
      <c r="N53" s="115" t="s">
        <v>189</v>
      </c>
      <c r="O53" s="119">
        <f>O5*(B5/B53)</f>
        <v>0.007765057715608285</v>
      </c>
      <c r="P53" s="103" t="s">
        <v>107</v>
      </c>
      <c r="Q53" s="104">
        <f aca="true" t="shared" si="24" ref="Q53:R70">+Q30+Q5</f>
        <v>73043.85999999999</v>
      </c>
      <c r="R53" s="104">
        <f t="shared" si="24"/>
        <v>91304.82499999998</v>
      </c>
      <c r="S53" s="115">
        <f aca="true" t="shared" si="25" ref="S53:S70">(B5/B53)*S5+(B30/B53)*S30</f>
        <v>0.08320122028082802</v>
      </c>
      <c r="T53" s="119">
        <f>T5+T30</f>
        <v>0.08320122028082802</v>
      </c>
    </row>
    <row r="54" spans="1:20" ht="12.75">
      <c r="A54" s="59">
        <v>2004</v>
      </c>
      <c r="B54" s="104">
        <f t="shared" si="21"/>
        <v>1097397.6666666665</v>
      </c>
      <c r="D54" s="123"/>
      <c r="E54" s="123"/>
      <c r="F54" s="103" t="s">
        <v>107</v>
      </c>
      <c r="G54" s="104">
        <f t="shared" si="22"/>
        <v>18347.953333333335</v>
      </c>
      <c r="H54" s="104">
        <f t="shared" si="22"/>
        <v>4420.237470824074</v>
      </c>
      <c r="I54" s="115" t="s">
        <v>189</v>
      </c>
      <c r="J54" s="127">
        <f aca="true" t="shared" si="26" ref="J54:J70">J6*(B6/(B54))</f>
        <v>0.0033672485000011618</v>
      </c>
      <c r="K54" s="103" t="s">
        <v>107</v>
      </c>
      <c r="L54" s="104">
        <f t="shared" si="23"/>
        <v>18347.953333333335</v>
      </c>
      <c r="M54" s="104">
        <f t="shared" si="23"/>
        <v>20386.614814814817</v>
      </c>
      <c r="N54" s="115" t="s">
        <v>189</v>
      </c>
      <c r="O54" s="119">
        <f aca="true" t="shared" si="27" ref="O54:O70">O6*(B6/B54)</f>
        <v>0.01553011543121657</v>
      </c>
      <c r="P54" s="103" t="s">
        <v>107</v>
      </c>
      <c r="Q54" s="104">
        <f t="shared" si="24"/>
        <v>73043.85999999999</v>
      </c>
      <c r="R54" s="104">
        <f t="shared" si="24"/>
        <v>182609.64999999997</v>
      </c>
      <c r="S54" s="115">
        <f t="shared" si="25"/>
        <v>0.16640244056165604</v>
      </c>
      <c r="T54" s="119">
        <f aca="true" t="shared" si="28" ref="T54:T70">T6+T31</f>
        <v>0.16640244056165604</v>
      </c>
    </row>
    <row r="55" spans="1:20" ht="12.75">
      <c r="A55" s="59">
        <v>2005</v>
      </c>
      <c r="B55" s="104">
        <f t="shared" si="21"/>
        <v>1097397.6666666665</v>
      </c>
      <c r="D55" s="123"/>
      <c r="E55" s="123"/>
      <c r="F55" s="103" t="s">
        <v>107</v>
      </c>
      <c r="G55" s="104">
        <f t="shared" si="22"/>
        <v>18347.953333333335</v>
      </c>
      <c r="H55" s="104">
        <f t="shared" si="22"/>
        <v>4418.0083850226365</v>
      </c>
      <c r="I55" s="115" t="s">
        <v>189</v>
      </c>
      <c r="J55" s="127">
        <f t="shared" si="26"/>
        <v>0.003365550427019607</v>
      </c>
      <c r="K55" s="103" t="s">
        <v>107</v>
      </c>
      <c r="L55" s="104">
        <f t="shared" si="23"/>
        <v>18347.953333333335</v>
      </c>
      <c r="M55" s="104">
        <f>+M32+M7</f>
        <v>24525.25090504038</v>
      </c>
      <c r="N55" s="115" t="s">
        <v>189</v>
      </c>
      <c r="O55" s="119">
        <f t="shared" si="27"/>
        <v>0.023353557039423413</v>
      </c>
      <c r="P55" s="103" t="s">
        <v>107</v>
      </c>
      <c r="Q55" s="104">
        <f t="shared" si="24"/>
        <v>73043.85999999999</v>
      </c>
      <c r="R55" s="104">
        <f t="shared" si="24"/>
        <v>274600.977443609</v>
      </c>
      <c r="S55" s="115">
        <f t="shared" si="25"/>
        <v>0.3124559886971975</v>
      </c>
      <c r="T55" s="119">
        <f t="shared" si="28"/>
        <v>0.3124559886971975</v>
      </c>
    </row>
    <row r="56" spans="1:20" ht="12.75">
      <c r="A56" s="59">
        <v>2006</v>
      </c>
      <c r="B56" s="104">
        <f t="shared" si="21"/>
        <v>1254871</v>
      </c>
      <c r="D56" s="123"/>
      <c r="E56" s="123"/>
      <c r="F56" s="103" t="s">
        <v>107</v>
      </c>
      <c r="G56" s="104">
        <f t="shared" si="22"/>
        <v>22611.28</v>
      </c>
      <c r="H56" s="104">
        <f t="shared" si="22"/>
        <v>6570.033682114932</v>
      </c>
      <c r="I56" s="115" t="s">
        <v>189</v>
      </c>
      <c r="J56" s="127">
        <f t="shared" si="26"/>
        <v>0.004716985948903425</v>
      </c>
      <c r="K56" s="103" t="s">
        <v>107</v>
      </c>
      <c r="L56" s="104">
        <f t="shared" si="23"/>
        <v>22611.28</v>
      </c>
      <c r="M56" s="104">
        <f t="shared" si="23"/>
        <v>40197.83111111111</v>
      </c>
      <c r="N56" s="115" t="s">
        <v>189</v>
      </c>
      <c r="O56" s="119">
        <f t="shared" si="27"/>
        <v>0.02886021802957739</v>
      </c>
      <c r="P56" s="103" t="s">
        <v>107</v>
      </c>
      <c r="Q56" s="104">
        <f t="shared" si="24"/>
        <v>80264.54</v>
      </c>
      <c r="R56" s="104">
        <f t="shared" si="24"/>
        <v>401322.69999999995</v>
      </c>
      <c r="S56" s="115">
        <f t="shared" si="25"/>
        <v>0.3198119169221378</v>
      </c>
      <c r="T56" s="119">
        <f t="shared" si="28"/>
        <v>0.3198119169221378</v>
      </c>
    </row>
    <row r="57" spans="1:20" ht="12.75">
      <c r="A57" s="59">
        <v>2007</v>
      </c>
      <c r="B57" s="104">
        <f t="shared" si="21"/>
        <v>1407251.52</v>
      </c>
      <c r="D57" s="123"/>
      <c r="E57" s="123"/>
      <c r="F57" s="103" t="s">
        <v>107</v>
      </c>
      <c r="G57" s="104">
        <f t="shared" si="22"/>
        <v>25170.5144</v>
      </c>
      <c r="H57" s="104">
        <f t="shared" si="22"/>
        <v>7360.103697183642</v>
      </c>
      <c r="I57" s="115" t="s">
        <v>189</v>
      </c>
      <c r="J57" s="127">
        <f t="shared" si="26"/>
        <v>0.0047120324888681115</v>
      </c>
      <c r="K57" s="103" t="s">
        <v>107</v>
      </c>
      <c r="L57" s="104">
        <f t="shared" si="23"/>
        <v>25170.5144</v>
      </c>
      <c r="M57" s="104">
        <f t="shared" si="23"/>
        <v>44747.581155555556</v>
      </c>
      <c r="N57" s="115" t="s">
        <v>189</v>
      </c>
      <c r="O57" s="119">
        <f t="shared" si="27"/>
        <v>0.02864797357188367</v>
      </c>
      <c r="P57" s="103" t="s">
        <v>107</v>
      </c>
      <c r="Q57" s="104">
        <f t="shared" si="24"/>
        <v>90384.1232</v>
      </c>
      <c r="R57" s="104">
        <f t="shared" si="24"/>
        <v>451920.6159999999</v>
      </c>
      <c r="S57" s="115">
        <f t="shared" si="25"/>
        <v>0.32113706013264776</v>
      </c>
      <c r="T57" s="119">
        <f t="shared" si="28"/>
        <v>0.3198119169221378</v>
      </c>
    </row>
    <row r="58" spans="1:20" ht="12.75">
      <c r="A58" s="59">
        <v>2008</v>
      </c>
      <c r="B58" s="104">
        <f t="shared" si="21"/>
        <v>1559632.04</v>
      </c>
      <c r="D58" s="123"/>
      <c r="E58" s="123"/>
      <c r="F58" s="103" t="s">
        <v>107</v>
      </c>
      <c r="G58" s="104">
        <f t="shared" si="22"/>
        <v>27729.7488</v>
      </c>
      <c r="H58" s="104">
        <f t="shared" si="22"/>
        <v>8066.789080779857</v>
      </c>
      <c r="I58" s="115" t="s">
        <v>189</v>
      </c>
      <c r="J58" s="127">
        <f t="shared" si="26"/>
        <v>0.004659878816862317</v>
      </c>
      <c r="K58" s="103" t="s">
        <v>107</v>
      </c>
      <c r="L58" s="104">
        <f t="shared" si="23"/>
        <v>27729.7488</v>
      </c>
      <c r="M58" s="104">
        <f t="shared" si="23"/>
        <v>49297.3312</v>
      </c>
      <c r="N58" s="115" t="s">
        <v>189</v>
      </c>
      <c r="O58" s="119">
        <f t="shared" si="27"/>
        <v>0.028477202897750443</v>
      </c>
      <c r="P58" s="103" t="s">
        <v>107</v>
      </c>
      <c r="Q58" s="104">
        <f t="shared" si="24"/>
        <v>100503.7064</v>
      </c>
      <c r="R58" s="104">
        <f t="shared" si="24"/>
        <v>502518.5319999999</v>
      </c>
      <c r="S58" s="115">
        <f t="shared" si="25"/>
        <v>0.3222032627644659</v>
      </c>
      <c r="T58" s="119">
        <f t="shared" si="28"/>
        <v>0.3198119169221378</v>
      </c>
    </row>
    <row r="59" spans="1:20" ht="12.75">
      <c r="A59" s="59">
        <v>2009</v>
      </c>
      <c r="B59" s="104">
        <f t="shared" si="21"/>
        <v>1712012.56</v>
      </c>
      <c r="D59" s="123"/>
      <c r="E59" s="123"/>
      <c r="F59" s="103" t="s">
        <v>107</v>
      </c>
      <c r="G59" s="104">
        <f t="shared" si="22"/>
        <v>37861.22900000001</v>
      </c>
      <c r="H59" s="104">
        <f t="shared" si="22"/>
        <v>11507.76215283782</v>
      </c>
      <c r="I59" s="115" t="s">
        <v>189</v>
      </c>
      <c r="J59" s="127">
        <f t="shared" si="26"/>
        <v>0.006055918196172054</v>
      </c>
      <c r="K59" s="103" t="s">
        <v>107</v>
      </c>
      <c r="L59" s="104">
        <f t="shared" si="23"/>
        <v>37861.22900000001</v>
      </c>
      <c r="M59" s="104">
        <f t="shared" si="23"/>
        <v>67308.85155555556</v>
      </c>
      <c r="N59" s="115" t="s">
        <v>189</v>
      </c>
      <c r="O59" s="119">
        <f t="shared" si="27"/>
        <v>0.03542103959788689</v>
      </c>
      <c r="P59" s="103" t="s">
        <v>107</v>
      </c>
      <c r="Q59" s="104">
        <f t="shared" si="24"/>
        <v>110623.2896</v>
      </c>
      <c r="R59" s="104">
        <f t="shared" si="24"/>
        <v>553116.448</v>
      </c>
      <c r="S59" s="115">
        <f t="shared" si="25"/>
        <v>0.3230796671258066</v>
      </c>
      <c r="T59" s="119">
        <f t="shared" si="28"/>
        <v>0.3198119169221378</v>
      </c>
    </row>
    <row r="60" spans="1:20" ht="12.75">
      <c r="A60" s="59">
        <v>2010</v>
      </c>
      <c r="B60" s="104">
        <f t="shared" si="21"/>
        <v>1864393.08</v>
      </c>
      <c r="D60" s="123"/>
      <c r="E60" s="123"/>
      <c r="F60" s="103" t="s">
        <v>107</v>
      </c>
      <c r="G60" s="104">
        <f t="shared" si="22"/>
        <v>41060.272000000004</v>
      </c>
      <c r="H60" s="104">
        <f t="shared" si="22"/>
        <v>12759.372373909384</v>
      </c>
      <c r="I60" s="115" t="s">
        <v>189</v>
      </c>
      <c r="J60" s="127">
        <f t="shared" si="26"/>
        <v>0.006165778220254292</v>
      </c>
      <c r="K60" s="103" t="s">
        <v>107</v>
      </c>
      <c r="L60" s="104">
        <f t="shared" si="23"/>
        <v>41060.272000000004</v>
      </c>
      <c r="M60" s="104">
        <f t="shared" si="23"/>
        <v>72996.03911111112</v>
      </c>
      <c r="N60" s="115" t="s">
        <v>189</v>
      </c>
      <c r="O60" s="119">
        <f t="shared" si="27"/>
        <v>0.035274257614461235</v>
      </c>
      <c r="P60" s="103" t="s">
        <v>107</v>
      </c>
      <c r="Q60" s="104">
        <f t="shared" si="24"/>
        <v>120742.87280000001</v>
      </c>
      <c r="R60" s="104">
        <f t="shared" si="24"/>
        <v>603714.3640000001</v>
      </c>
      <c r="S60" s="115">
        <f t="shared" si="25"/>
        <v>0.323812810976535</v>
      </c>
      <c r="T60" s="119">
        <f t="shared" si="28"/>
        <v>0.3198119169221378</v>
      </c>
    </row>
    <row r="61" spans="1:20" ht="12.75">
      <c r="A61" s="59">
        <v>2011</v>
      </c>
      <c r="B61" s="104">
        <f t="shared" si="21"/>
        <v>2016773.6</v>
      </c>
      <c r="D61" s="123"/>
      <c r="E61" s="123"/>
      <c r="F61" s="103" t="s">
        <v>107</v>
      </c>
      <c r="G61" s="104">
        <f t="shared" si="22"/>
        <v>44259.315</v>
      </c>
      <c r="H61" s="104">
        <f t="shared" si="22"/>
        <v>13796.035705327518</v>
      </c>
      <c r="I61" s="115" t="s">
        <v>189</v>
      </c>
      <c r="J61" s="127">
        <f t="shared" si="26"/>
        <v>0.006163015094546824</v>
      </c>
      <c r="K61" s="103" t="s">
        <v>107</v>
      </c>
      <c r="L61" s="104">
        <f t="shared" si="23"/>
        <v>44259.315</v>
      </c>
      <c r="M61" s="104">
        <f t="shared" si="23"/>
        <v>78683.22666666667</v>
      </c>
      <c r="N61" s="115" t="s">
        <v>189</v>
      </c>
      <c r="O61" s="119">
        <f t="shared" si="27"/>
        <v>0.03514965632098614</v>
      </c>
      <c r="P61" s="103" t="s">
        <v>107</v>
      </c>
      <c r="Q61" s="104">
        <f t="shared" si="24"/>
        <v>130862.456</v>
      </c>
      <c r="R61" s="104">
        <f t="shared" si="24"/>
        <v>654312.2799999999</v>
      </c>
      <c r="S61" s="115">
        <f t="shared" si="25"/>
        <v>0.3244351671402283</v>
      </c>
      <c r="T61" s="119">
        <f t="shared" si="28"/>
        <v>0.3198119169221378</v>
      </c>
    </row>
    <row r="62" spans="1:20" ht="12.75">
      <c r="A62" s="59">
        <v>2012</v>
      </c>
      <c r="B62" s="104">
        <f t="shared" si="21"/>
        <v>2151227</v>
      </c>
      <c r="D62" s="123"/>
      <c r="E62" s="123"/>
      <c r="F62" s="103" t="s">
        <v>107</v>
      </c>
      <c r="G62" s="104">
        <f t="shared" si="22"/>
        <v>56498.4</v>
      </c>
      <c r="H62" s="104">
        <f t="shared" si="22"/>
        <v>19066.356161614203</v>
      </c>
      <c r="I62" s="115" t="s">
        <v>189</v>
      </c>
      <c r="J62" s="127">
        <f t="shared" si="26"/>
        <v>0.007985047993635842</v>
      </c>
      <c r="K62" s="103" t="s">
        <v>107</v>
      </c>
      <c r="L62" s="104">
        <f t="shared" si="23"/>
        <v>56498.4</v>
      </c>
      <c r="M62" s="104">
        <f t="shared" si="23"/>
        <v>100441.6</v>
      </c>
      <c r="N62" s="115" t="s">
        <v>189</v>
      </c>
      <c r="O62" s="119">
        <f t="shared" si="27"/>
        <v>0.04206524779875253</v>
      </c>
      <c r="P62" s="103" t="s">
        <v>107</v>
      </c>
      <c r="Q62" s="104">
        <f t="shared" si="24"/>
        <v>139791.5</v>
      </c>
      <c r="R62" s="104">
        <f t="shared" si="24"/>
        <v>698957.5</v>
      </c>
      <c r="S62" s="115">
        <f t="shared" si="25"/>
        <v>0.32491108562694687</v>
      </c>
      <c r="T62" s="119">
        <f t="shared" si="28"/>
        <v>0.3198119169221378</v>
      </c>
    </row>
    <row r="63" spans="1:20" ht="12.75">
      <c r="A63" s="59">
        <v>2013</v>
      </c>
      <c r="B63" s="104">
        <f t="shared" si="21"/>
        <v>2151227</v>
      </c>
      <c r="D63" s="123"/>
      <c r="E63" s="123"/>
      <c r="F63" s="103" t="s">
        <v>107</v>
      </c>
      <c r="G63" s="104">
        <f t="shared" si="22"/>
        <v>56498.4</v>
      </c>
      <c r="H63" s="104">
        <f t="shared" si="22"/>
        <v>19066.356161614203</v>
      </c>
      <c r="I63" s="115" t="s">
        <v>189</v>
      </c>
      <c r="J63" s="127">
        <f t="shared" si="26"/>
        <v>0.007985047993635842</v>
      </c>
      <c r="K63" s="103" t="s">
        <v>107</v>
      </c>
      <c r="L63" s="104">
        <f t="shared" si="23"/>
        <v>56498.4</v>
      </c>
      <c r="M63" s="104">
        <f t="shared" si="23"/>
        <v>100441.6</v>
      </c>
      <c r="N63" s="115" t="s">
        <v>189</v>
      </c>
      <c r="O63" s="119">
        <f t="shared" si="27"/>
        <v>0.04206524779875253</v>
      </c>
      <c r="P63" s="103" t="s">
        <v>107</v>
      </c>
      <c r="Q63" s="104">
        <f t="shared" si="24"/>
        <v>139791.5</v>
      </c>
      <c r="R63" s="104">
        <f t="shared" si="24"/>
        <v>698957.5</v>
      </c>
      <c r="S63" s="115">
        <f t="shared" si="25"/>
        <v>0.32491108562694687</v>
      </c>
      <c r="T63" s="119">
        <f t="shared" si="28"/>
        <v>0.3198119169221378</v>
      </c>
    </row>
    <row r="64" spans="1:20" ht="12.75">
      <c r="A64" s="59">
        <v>2014</v>
      </c>
      <c r="B64" s="104">
        <f t="shared" si="21"/>
        <v>2151227</v>
      </c>
      <c r="D64" s="123"/>
      <c r="E64" s="123"/>
      <c r="F64" s="103" t="s">
        <v>107</v>
      </c>
      <c r="G64" s="104">
        <f t="shared" si="22"/>
        <v>56498.4</v>
      </c>
      <c r="H64" s="104">
        <f t="shared" si="22"/>
        <v>19066.356161614203</v>
      </c>
      <c r="I64" s="115" t="s">
        <v>189</v>
      </c>
      <c r="J64" s="127">
        <f t="shared" si="26"/>
        <v>0.007985047993635842</v>
      </c>
      <c r="K64" s="103" t="s">
        <v>107</v>
      </c>
      <c r="L64" s="104">
        <f t="shared" si="23"/>
        <v>56498.4</v>
      </c>
      <c r="M64" s="104">
        <f t="shared" si="23"/>
        <v>100441.6</v>
      </c>
      <c r="N64" s="115" t="s">
        <v>189</v>
      </c>
      <c r="O64" s="119">
        <f t="shared" si="27"/>
        <v>0.04206524779875253</v>
      </c>
      <c r="P64" s="103" t="s">
        <v>107</v>
      </c>
      <c r="Q64" s="104">
        <f t="shared" si="24"/>
        <v>139791.5</v>
      </c>
      <c r="R64" s="104">
        <f t="shared" si="24"/>
        <v>698957.5</v>
      </c>
      <c r="S64" s="115">
        <f t="shared" si="25"/>
        <v>0.32491108562694687</v>
      </c>
      <c r="T64" s="119">
        <f t="shared" si="28"/>
        <v>0.3198119169221378</v>
      </c>
    </row>
    <row r="65" spans="1:20" ht="12.75">
      <c r="A65" s="59">
        <v>2015</v>
      </c>
      <c r="B65" s="104">
        <f t="shared" si="21"/>
        <v>2151227</v>
      </c>
      <c r="D65" s="123"/>
      <c r="E65" s="123"/>
      <c r="F65" s="103" t="s">
        <v>107</v>
      </c>
      <c r="G65" s="104">
        <f t="shared" si="22"/>
        <v>75331.2</v>
      </c>
      <c r="H65" s="104">
        <f t="shared" si="22"/>
        <v>25421.808215485602</v>
      </c>
      <c r="I65" s="115" t="s">
        <v>189</v>
      </c>
      <c r="J65" s="127">
        <f t="shared" si="26"/>
        <v>0.01064673065818112</v>
      </c>
      <c r="K65" s="103" t="s">
        <v>107</v>
      </c>
      <c r="L65" s="104">
        <f t="shared" si="23"/>
        <v>75331.2</v>
      </c>
      <c r="M65" s="104">
        <f t="shared" si="23"/>
        <v>133922.13333333333</v>
      </c>
      <c r="N65" s="115" t="s">
        <v>189</v>
      </c>
      <c r="O65" s="119">
        <f t="shared" si="27"/>
        <v>0.05608699706500338</v>
      </c>
      <c r="P65" s="103" t="s">
        <v>107</v>
      </c>
      <c r="Q65" s="104">
        <f t="shared" si="24"/>
        <v>139791.5</v>
      </c>
      <c r="R65" s="104">
        <f t="shared" si="24"/>
        <v>698957.5</v>
      </c>
      <c r="S65" s="115">
        <f t="shared" si="25"/>
        <v>0.32491108562694687</v>
      </c>
      <c r="T65" s="119">
        <f t="shared" si="28"/>
        <v>0.3198119169221378</v>
      </c>
    </row>
    <row r="66" spans="1:20" ht="12.75">
      <c r="A66" s="59">
        <v>2016</v>
      </c>
      <c r="B66" s="104">
        <f t="shared" si="21"/>
        <v>2151227</v>
      </c>
      <c r="D66" s="123"/>
      <c r="E66" s="123"/>
      <c r="F66" s="103" t="s">
        <v>107</v>
      </c>
      <c r="G66" s="104">
        <f t="shared" si="22"/>
        <v>75331.2</v>
      </c>
      <c r="H66" s="104">
        <f t="shared" si="22"/>
        <v>25421.808215485602</v>
      </c>
      <c r="I66" s="115" t="s">
        <v>189</v>
      </c>
      <c r="J66" s="127">
        <f t="shared" si="26"/>
        <v>0.01064673065818112</v>
      </c>
      <c r="K66" s="103" t="s">
        <v>107</v>
      </c>
      <c r="L66" s="104">
        <f t="shared" si="23"/>
        <v>75331.2</v>
      </c>
      <c r="M66" s="104">
        <f t="shared" si="23"/>
        <v>133922.13333333333</v>
      </c>
      <c r="N66" s="115" t="s">
        <v>189</v>
      </c>
      <c r="O66" s="119">
        <f t="shared" si="27"/>
        <v>0.05608699706500338</v>
      </c>
      <c r="P66" s="103" t="s">
        <v>107</v>
      </c>
      <c r="Q66" s="104">
        <f t="shared" si="24"/>
        <v>139791.5</v>
      </c>
      <c r="R66" s="104">
        <f t="shared" si="24"/>
        <v>698957.5</v>
      </c>
      <c r="S66" s="115">
        <f t="shared" si="25"/>
        <v>0.32491108562694687</v>
      </c>
      <c r="T66" s="119">
        <f t="shared" si="28"/>
        <v>0.3198119169221378</v>
      </c>
    </row>
    <row r="67" spans="1:20" ht="12.75">
      <c r="A67" s="59">
        <v>2017</v>
      </c>
      <c r="B67" s="104">
        <f t="shared" si="21"/>
        <v>2151227</v>
      </c>
      <c r="D67" s="123"/>
      <c r="E67" s="123"/>
      <c r="F67" s="103" t="s">
        <v>107</v>
      </c>
      <c r="G67" s="104">
        <f t="shared" si="22"/>
        <v>75331.2</v>
      </c>
      <c r="H67" s="104">
        <f t="shared" si="22"/>
        <v>25421.808215485602</v>
      </c>
      <c r="I67" s="115" t="s">
        <v>189</v>
      </c>
      <c r="J67" s="127">
        <f t="shared" si="26"/>
        <v>0.01064673065818112</v>
      </c>
      <c r="K67" s="103" t="s">
        <v>107</v>
      </c>
      <c r="L67" s="104">
        <f t="shared" si="23"/>
        <v>75331.2</v>
      </c>
      <c r="M67" s="104">
        <f t="shared" si="23"/>
        <v>133922.13333333333</v>
      </c>
      <c r="N67" s="115" t="s">
        <v>189</v>
      </c>
      <c r="O67" s="119">
        <f t="shared" si="27"/>
        <v>0.05608699706500338</v>
      </c>
      <c r="P67" s="103" t="s">
        <v>107</v>
      </c>
      <c r="Q67" s="104">
        <f t="shared" si="24"/>
        <v>139791.5</v>
      </c>
      <c r="R67" s="104">
        <f t="shared" si="24"/>
        <v>698957.5</v>
      </c>
      <c r="S67" s="115">
        <f t="shared" si="25"/>
        <v>0.32491108562694687</v>
      </c>
      <c r="T67" s="119">
        <f t="shared" si="28"/>
        <v>0.3198119169221378</v>
      </c>
    </row>
    <row r="68" spans="1:20" ht="12.75">
      <c r="A68" s="59">
        <v>2018</v>
      </c>
      <c r="B68" s="104">
        <f t="shared" si="21"/>
        <v>2151227</v>
      </c>
      <c r="D68" s="123"/>
      <c r="E68" s="123"/>
      <c r="F68" s="103" t="s">
        <v>107</v>
      </c>
      <c r="G68" s="104">
        <f t="shared" si="22"/>
        <v>94164</v>
      </c>
      <c r="H68" s="104">
        <f t="shared" si="22"/>
        <v>31777.260269357</v>
      </c>
      <c r="I68" s="115" t="s">
        <v>189</v>
      </c>
      <c r="J68" s="127">
        <f t="shared" si="26"/>
        <v>0.013308413322726398</v>
      </c>
      <c r="K68" s="103" t="s">
        <v>107</v>
      </c>
      <c r="L68" s="104">
        <f t="shared" si="23"/>
        <v>94164</v>
      </c>
      <c r="M68" s="104">
        <f t="shared" si="23"/>
        <v>167402.66666666666</v>
      </c>
      <c r="N68" s="115" t="s">
        <v>189</v>
      </c>
      <c r="O68" s="119">
        <f t="shared" si="27"/>
        <v>0.07010874633125422</v>
      </c>
      <c r="P68" s="103" t="s">
        <v>107</v>
      </c>
      <c r="Q68" s="104">
        <f t="shared" si="24"/>
        <v>139791.5</v>
      </c>
      <c r="R68" s="104">
        <f t="shared" si="24"/>
        <v>698957.5</v>
      </c>
      <c r="S68" s="115">
        <f t="shared" si="25"/>
        <v>0.32491108562694687</v>
      </c>
      <c r="T68" s="119">
        <f t="shared" si="28"/>
        <v>0.3198119169221378</v>
      </c>
    </row>
    <row r="69" spans="1:20" ht="12.75">
      <c r="A69" s="59">
        <v>2019</v>
      </c>
      <c r="B69" s="104">
        <f t="shared" si="21"/>
        <v>2151227</v>
      </c>
      <c r="D69" s="123"/>
      <c r="E69" s="123"/>
      <c r="F69" s="103" t="s">
        <v>107</v>
      </c>
      <c r="G69" s="104">
        <f t="shared" si="22"/>
        <v>94164</v>
      </c>
      <c r="H69" s="104">
        <f t="shared" si="22"/>
        <v>31777.260269357</v>
      </c>
      <c r="I69" s="115" t="s">
        <v>189</v>
      </c>
      <c r="J69" s="127">
        <f t="shared" si="26"/>
        <v>0.013308413322726398</v>
      </c>
      <c r="K69" s="103" t="s">
        <v>107</v>
      </c>
      <c r="L69" s="104">
        <f t="shared" si="23"/>
        <v>94164</v>
      </c>
      <c r="M69" s="104">
        <f t="shared" si="23"/>
        <v>167402.66666666666</v>
      </c>
      <c r="N69" s="115" t="s">
        <v>189</v>
      </c>
      <c r="O69" s="119">
        <f t="shared" si="27"/>
        <v>0.07010874633125422</v>
      </c>
      <c r="P69" s="103" t="s">
        <v>107</v>
      </c>
      <c r="Q69" s="104">
        <f t="shared" si="24"/>
        <v>139791.5</v>
      </c>
      <c r="R69" s="104">
        <f t="shared" si="24"/>
        <v>698957.5</v>
      </c>
      <c r="S69" s="115">
        <f t="shared" si="25"/>
        <v>0.32491108562694687</v>
      </c>
      <c r="T69" s="119">
        <f t="shared" si="28"/>
        <v>0.3198119169221378</v>
      </c>
    </row>
    <row r="70" spans="1:20" ht="12.75">
      <c r="A70" s="59">
        <v>2020</v>
      </c>
      <c r="B70" s="104">
        <f t="shared" si="21"/>
        <v>2151227</v>
      </c>
      <c r="D70" s="123"/>
      <c r="E70" s="123"/>
      <c r="F70" s="103" t="s">
        <v>107</v>
      </c>
      <c r="G70" s="104">
        <f t="shared" si="22"/>
        <v>94164</v>
      </c>
      <c r="H70" s="104">
        <f t="shared" si="22"/>
        <v>31777.260269357</v>
      </c>
      <c r="I70" s="115" t="s">
        <v>189</v>
      </c>
      <c r="J70" s="127">
        <f t="shared" si="26"/>
        <v>0.013308413322726398</v>
      </c>
      <c r="K70" s="103" t="s">
        <v>107</v>
      </c>
      <c r="L70" s="104">
        <f t="shared" si="23"/>
        <v>94164</v>
      </c>
      <c r="M70" s="104">
        <f t="shared" si="23"/>
        <v>167402.66666666666</v>
      </c>
      <c r="N70" s="115" t="s">
        <v>189</v>
      </c>
      <c r="O70" s="119">
        <f t="shared" si="27"/>
        <v>0.07010874633125422</v>
      </c>
      <c r="P70" s="103" t="s">
        <v>107</v>
      </c>
      <c r="Q70" s="104">
        <f t="shared" si="24"/>
        <v>139791.5</v>
      </c>
      <c r="R70" s="104">
        <f t="shared" si="24"/>
        <v>698957.5</v>
      </c>
      <c r="S70" s="115">
        <f t="shared" si="25"/>
        <v>0.32491108562694687</v>
      </c>
      <c r="T70" s="119">
        <f t="shared" si="28"/>
        <v>0.3198119169221378</v>
      </c>
    </row>
  </sheetData>
  <mergeCells count="65">
    <mergeCell ref="K50:O50"/>
    <mergeCell ref="C27:C29"/>
    <mergeCell ref="C2:C4"/>
    <mergeCell ref="I3:I4"/>
    <mergeCell ref="F2:J2"/>
    <mergeCell ref="H28:H29"/>
    <mergeCell ref="K28:K29"/>
    <mergeCell ref="L28:L29"/>
    <mergeCell ref="M28:M29"/>
    <mergeCell ref="I28:I29"/>
    <mergeCell ref="S28:S29"/>
    <mergeCell ref="F27:I27"/>
    <mergeCell ref="T51:T52"/>
    <mergeCell ref="P51:P52"/>
    <mergeCell ref="Q51:Q52"/>
    <mergeCell ref="R51:R52"/>
    <mergeCell ref="P50:T50"/>
    <mergeCell ref="S51:S52"/>
    <mergeCell ref="F50:J50"/>
    <mergeCell ref="N28:N29"/>
    <mergeCell ref="P2:T2"/>
    <mergeCell ref="S3:S4"/>
    <mergeCell ref="N3:N4"/>
    <mergeCell ref="K2:O2"/>
    <mergeCell ref="H51:H52"/>
    <mergeCell ref="O51:O52"/>
    <mergeCell ref="J51:J52"/>
    <mergeCell ref="K51:K52"/>
    <mergeCell ref="L51:L52"/>
    <mergeCell ref="M51:M52"/>
    <mergeCell ref="I51:I52"/>
    <mergeCell ref="N51:N52"/>
    <mergeCell ref="A50:A52"/>
    <mergeCell ref="B50:B52"/>
    <mergeCell ref="F51:F52"/>
    <mergeCell ref="G51:G52"/>
    <mergeCell ref="A2:A4"/>
    <mergeCell ref="B2:B4"/>
    <mergeCell ref="A27:A29"/>
    <mergeCell ref="B27:B29"/>
    <mergeCell ref="K27:N27"/>
    <mergeCell ref="O3:O4"/>
    <mergeCell ref="K3:K4"/>
    <mergeCell ref="L3:L4"/>
    <mergeCell ref="M3:M4"/>
    <mergeCell ref="D27:D29"/>
    <mergeCell ref="E27:E29"/>
    <mergeCell ref="J3:J4"/>
    <mergeCell ref="F3:F4"/>
    <mergeCell ref="G3:G4"/>
    <mergeCell ref="H3:H4"/>
    <mergeCell ref="E2:E4"/>
    <mergeCell ref="D2:D4"/>
    <mergeCell ref="F28:F29"/>
    <mergeCell ref="G28:G29"/>
    <mergeCell ref="T28:T29"/>
    <mergeCell ref="O28:O29"/>
    <mergeCell ref="T3:T4"/>
    <mergeCell ref="R3:R4"/>
    <mergeCell ref="Q3:Q4"/>
    <mergeCell ref="P3:P4"/>
    <mergeCell ref="P28:P29"/>
    <mergeCell ref="Q28:Q29"/>
    <mergeCell ref="R28:R29"/>
    <mergeCell ref="P27:T27"/>
  </mergeCells>
  <printOptions/>
  <pageMargins left="0.23" right="0.18" top="0.26" bottom="0.2" header="0.61" footer="0.5"/>
  <pageSetup fitToHeight="1" fitToWidth="1" orientation="landscape" scale="61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1">
    <pageSetUpPr fitToPage="1"/>
  </sheetPr>
  <dimension ref="A1:AC70"/>
  <sheetViews>
    <sheetView zoomScale="66" zoomScaleNormal="66" zoomScaleSheetLayoutView="66" workbookViewId="0" topLeftCell="D1">
      <selection activeCell="I24" sqref="I24"/>
    </sheetView>
  </sheetViews>
  <sheetFormatPr defaultColWidth="9.140625" defaultRowHeight="12.75"/>
  <cols>
    <col min="1" max="1" width="10.57421875" style="0" customWidth="1"/>
    <col min="2" max="2" width="11.140625" style="0" customWidth="1"/>
    <col min="4" max="4" width="10.421875" style="0" customWidth="1"/>
    <col min="7" max="7" width="11.57421875" style="0" customWidth="1"/>
    <col min="8" max="8" width="11.140625" style="0" customWidth="1"/>
    <col min="9" max="9" width="11.00390625" style="0" customWidth="1"/>
    <col min="12" max="13" width="11.421875" style="0" customWidth="1"/>
    <col min="14" max="16" width="9.140625" style="116" customWidth="1"/>
    <col min="17" max="17" width="11.00390625" style="116" customWidth="1"/>
    <col min="18" max="18" width="11.28125" style="0" customWidth="1"/>
    <col min="19" max="19" width="12.00390625" style="0" bestFit="1" customWidth="1"/>
  </cols>
  <sheetData>
    <row r="1" ht="12.75">
      <c r="A1" s="48" t="s">
        <v>174</v>
      </c>
    </row>
    <row r="2" spans="1:18" ht="12.75">
      <c r="A2" s="150" t="s">
        <v>43</v>
      </c>
      <c r="B2" s="135" t="s">
        <v>171</v>
      </c>
      <c r="C2" s="144" t="s">
        <v>187</v>
      </c>
      <c r="D2" s="166" t="s">
        <v>47</v>
      </c>
      <c r="E2" s="167"/>
      <c r="F2" s="167"/>
      <c r="G2" s="167"/>
      <c r="H2" s="168"/>
      <c r="I2" s="166" t="s">
        <v>100</v>
      </c>
      <c r="J2" s="167"/>
      <c r="K2" s="167"/>
      <c r="L2" s="167"/>
      <c r="M2" s="168"/>
      <c r="N2" s="166" t="s">
        <v>91</v>
      </c>
      <c r="O2" s="167"/>
      <c r="P2" s="167"/>
      <c r="Q2" s="167"/>
      <c r="R2" s="168"/>
    </row>
    <row r="3" spans="1:18" ht="12.75" customHeight="1">
      <c r="A3" s="150"/>
      <c r="B3" s="135"/>
      <c r="C3" s="172"/>
      <c r="D3" s="180" t="s">
        <v>172</v>
      </c>
      <c r="E3" s="143" t="s">
        <v>94</v>
      </c>
      <c r="F3" s="143" t="s">
        <v>173</v>
      </c>
      <c r="G3" s="163" t="s">
        <v>193</v>
      </c>
      <c r="H3" s="147" t="s">
        <v>197</v>
      </c>
      <c r="I3" s="143" t="s">
        <v>172</v>
      </c>
      <c r="J3" s="143" t="s">
        <v>94</v>
      </c>
      <c r="K3" s="143" t="s">
        <v>173</v>
      </c>
      <c r="L3" s="163" t="s">
        <v>193</v>
      </c>
      <c r="M3" s="147" t="s">
        <v>197</v>
      </c>
      <c r="N3" s="144" t="s">
        <v>172</v>
      </c>
      <c r="O3" s="144" t="s">
        <v>94</v>
      </c>
      <c r="P3" s="144" t="s">
        <v>173</v>
      </c>
      <c r="Q3" s="163" t="s">
        <v>193</v>
      </c>
      <c r="R3" s="147" t="s">
        <v>197</v>
      </c>
    </row>
    <row r="4" spans="1:18" ht="12.75">
      <c r="A4" s="150"/>
      <c r="B4" s="135"/>
      <c r="C4" s="145"/>
      <c r="D4" s="180"/>
      <c r="E4" s="143"/>
      <c r="F4" s="143"/>
      <c r="G4" s="173"/>
      <c r="H4" s="148"/>
      <c r="I4" s="143"/>
      <c r="J4" s="143"/>
      <c r="K4" s="143"/>
      <c r="L4" s="173"/>
      <c r="M4" s="148"/>
      <c r="N4" s="145"/>
      <c r="O4" s="145"/>
      <c r="P4" s="145"/>
      <c r="Q4" s="173"/>
      <c r="R4" s="148"/>
    </row>
    <row r="5" spans="1:29" ht="12.75">
      <c r="A5" s="59">
        <v>2003</v>
      </c>
      <c r="B5" s="104">
        <f>Sales!E66</f>
        <v>917397.6666666666</v>
      </c>
      <c r="C5" s="117">
        <f>B5/(B5+B30)</f>
        <v>0.8359755943834399</v>
      </c>
      <c r="D5" s="109">
        <v>0.02</v>
      </c>
      <c r="E5" s="104">
        <f aca="true" t="shared" si="0" ref="E5:E22">+B5*D5</f>
        <v>18347.953333333335</v>
      </c>
      <c r="F5" s="104">
        <f>B5*G5</f>
        <v>4420.237470824074</v>
      </c>
      <c r="G5" s="119">
        <f>'2003'!N31</f>
        <v>0.004818234917562911</v>
      </c>
      <c r="H5" s="130">
        <f>G5*B5</f>
        <v>4420.237470824074</v>
      </c>
      <c r="I5" s="109">
        <v>0.02</v>
      </c>
      <c r="J5" s="104">
        <f aca="true" t="shared" si="1" ref="J5:J22">+B5*I5</f>
        <v>18347.953333333335</v>
      </c>
      <c r="K5" s="104">
        <f>(+J5/0.45)/4</f>
        <v>10193.307407407408</v>
      </c>
      <c r="L5" s="119">
        <f>(I5/0.45)/4</f>
        <v>0.011111111111111112</v>
      </c>
      <c r="M5" s="129">
        <f>L5*B5</f>
        <v>10193.307407407407</v>
      </c>
      <c r="N5" s="108">
        <v>0.06</v>
      </c>
      <c r="O5" s="104">
        <f aca="true" t="shared" si="2" ref="O5:O22">+B5*N5</f>
        <v>55043.85999999999</v>
      </c>
      <c r="P5" s="104">
        <f>(+O5/0.2)/4</f>
        <v>68804.82499999998</v>
      </c>
      <c r="Q5" s="110">
        <f>(N5/0.2/4)</f>
        <v>0.075</v>
      </c>
      <c r="R5" s="129">
        <f>Q5*B5</f>
        <v>68804.825</v>
      </c>
      <c r="AC5" s="33"/>
    </row>
    <row r="6" spans="1:18" ht="12.75">
      <c r="A6" s="59">
        <v>2004</v>
      </c>
      <c r="B6" s="104">
        <f>Sales!F66</f>
        <v>917397.6666666666</v>
      </c>
      <c r="C6" s="114">
        <f>B6/(B6+B31)</f>
        <v>0.8359755943834399</v>
      </c>
      <c r="D6" s="109">
        <v>0.02</v>
      </c>
      <c r="E6" s="104">
        <f t="shared" si="0"/>
        <v>18347.953333333335</v>
      </c>
      <c r="F6" s="104">
        <f aca="true" t="shared" si="3" ref="F6:F22">B6*G6</f>
        <v>4420.237470824074</v>
      </c>
      <c r="G6" s="119">
        <f>'2004'!K31</f>
        <v>0.004818234917562911</v>
      </c>
      <c r="H6" s="130">
        <f aca="true" t="shared" si="4" ref="H6:H22">G6*B6</f>
        <v>4420.237470824074</v>
      </c>
      <c r="I6" s="109">
        <v>0.02</v>
      </c>
      <c r="J6" s="104">
        <f t="shared" si="1"/>
        <v>18347.953333333335</v>
      </c>
      <c r="K6" s="104">
        <f>(+J6/0.45)/2</f>
        <v>20386.614814814817</v>
      </c>
      <c r="L6" s="119">
        <f>(I6/0.45)/2</f>
        <v>0.022222222222222223</v>
      </c>
      <c r="M6" s="129">
        <f aca="true" t="shared" si="5" ref="M6:M22">L6*B6</f>
        <v>20386.614814814813</v>
      </c>
      <c r="N6" s="108">
        <v>0.06</v>
      </c>
      <c r="O6" s="104">
        <f t="shared" si="2"/>
        <v>55043.85999999999</v>
      </c>
      <c r="P6" s="104">
        <f>(+O6/0.2)/2</f>
        <v>137609.64999999997</v>
      </c>
      <c r="Q6" s="110">
        <f>(N6/0.2)/2</f>
        <v>0.15</v>
      </c>
      <c r="R6" s="129">
        <f aca="true" t="shared" si="6" ref="R6:R22">Q6*B6</f>
        <v>137609.65</v>
      </c>
    </row>
    <row r="7" spans="1:18" ht="12.75">
      <c r="A7" s="59">
        <v>2005</v>
      </c>
      <c r="B7" s="104">
        <f>Sales!G66</f>
        <v>917397.6666666666</v>
      </c>
      <c r="C7" s="114">
        <f>B7/(B7+B32)</f>
        <v>0.8359755943834399</v>
      </c>
      <c r="D7" s="109">
        <v>0.02</v>
      </c>
      <c r="E7" s="104">
        <f t="shared" si="0"/>
        <v>18347.953333333335</v>
      </c>
      <c r="F7" s="104">
        <f t="shared" si="3"/>
        <v>4418.008385022636</v>
      </c>
      <c r="G7" s="119">
        <f>'2005'!K31</f>
        <v>0.004815805125246634</v>
      </c>
      <c r="H7" s="130">
        <f t="shared" si="4"/>
        <v>4418.008385022636</v>
      </c>
      <c r="I7" s="109">
        <v>0.02</v>
      </c>
      <c r="J7" s="104">
        <f t="shared" si="1"/>
        <v>18347.953333333335</v>
      </c>
      <c r="K7" s="104">
        <f>(+J7/(0.45*1.25))/1.33</f>
        <v>24525.25090504038</v>
      </c>
      <c r="L7" s="119">
        <f>(I7/(0.45*1.25))/1.33</f>
        <v>0.026733500417710943</v>
      </c>
      <c r="M7" s="129">
        <f t="shared" si="5"/>
        <v>24525.250905040375</v>
      </c>
      <c r="N7" s="108">
        <v>0.06</v>
      </c>
      <c r="O7" s="104">
        <f t="shared" si="2"/>
        <v>55043.85999999999</v>
      </c>
      <c r="P7" s="104">
        <f>(+O7/0.2)/1.33</f>
        <v>206931.80451127814</v>
      </c>
      <c r="Q7" s="110">
        <f>(N7/0.2)/1.33</f>
        <v>0.22556390977443608</v>
      </c>
      <c r="R7" s="129">
        <f t="shared" si="6"/>
        <v>206931.80451127817</v>
      </c>
    </row>
    <row r="8" spans="1:18" ht="12.75">
      <c r="A8" s="59">
        <v>2006</v>
      </c>
      <c r="B8" s="104">
        <f>Sales!I64</f>
        <v>1130564</v>
      </c>
      <c r="C8" s="114">
        <f>B8/(B8+B33)</f>
        <v>0.9009404153893109</v>
      </c>
      <c r="D8" s="109">
        <v>0.02</v>
      </c>
      <c r="E8" s="104">
        <f t="shared" si="0"/>
        <v>22611.28</v>
      </c>
      <c r="F8" s="104">
        <f t="shared" si="3"/>
        <v>6570.033682114932</v>
      </c>
      <c r="G8" s="119">
        <f>'2006'!K31</f>
        <v>0.005811288597651201</v>
      </c>
      <c r="H8" s="130">
        <f t="shared" si="4"/>
        <v>6570.033682114932</v>
      </c>
      <c r="I8" s="109">
        <v>0.02</v>
      </c>
      <c r="J8" s="104">
        <f t="shared" si="1"/>
        <v>22611.28</v>
      </c>
      <c r="K8" s="104">
        <f aca="true" t="shared" si="7" ref="K8:K22">(+J8/(0.45*1.25))</f>
        <v>40197.83111111111</v>
      </c>
      <c r="L8" s="119">
        <f aca="true" t="shared" si="8" ref="L8:L22">(+I8/(0.45*1.25))</f>
        <v>0.035555555555555556</v>
      </c>
      <c r="M8" s="129">
        <f t="shared" si="5"/>
        <v>40197.83111111111</v>
      </c>
      <c r="N8" s="108">
        <v>0.06</v>
      </c>
      <c r="O8" s="104">
        <f t="shared" si="2"/>
        <v>67833.84</v>
      </c>
      <c r="P8" s="104">
        <f aca="true" t="shared" si="9" ref="P8:P22">(+O8/0.2)</f>
        <v>339169.19999999995</v>
      </c>
      <c r="Q8" s="110">
        <f aca="true" t="shared" si="10" ref="Q8:Q22">N8/0.2</f>
        <v>0.3</v>
      </c>
      <c r="R8" s="129">
        <f t="shared" si="6"/>
        <v>339169.2</v>
      </c>
    </row>
    <row r="9" spans="1:18" ht="12.75">
      <c r="A9" s="59">
        <v>2007</v>
      </c>
      <c r="B9" s="104">
        <f>Sales!J64</f>
        <v>1130564</v>
      </c>
      <c r="C9" s="114">
        <f aca="true" t="shared" si="11" ref="C9:C22">B9/(B9+B34)</f>
        <v>0.9009404153893109</v>
      </c>
      <c r="D9" s="109">
        <v>0.02</v>
      </c>
      <c r="E9" s="104">
        <f t="shared" si="0"/>
        <v>22611.28</v>
      </c>
      <c r="F9" s="104">
        <f t="shared" si="3"/>
        <v>6611.758618888398</v>
      </c>
      <c r="G9" s="119">
        <f>'2007'!K31</f>
        <v>0.0058481948999688635</v>
      </c>
      <c r="H9" s="130">
        <f t="shared" si="4"/>
        <v>6611.758618888398</v>
      </c>
      <c r="I9" s="109">
        <v>0.02</v>
      </c>
      <c r="J9" s="104">
        <f t="shared" si="1"/>
        <v>22611.28</v>
      </c>
      <c r="K9" s="104">
        <f t="shared" si="7"/>
        <v>40197.83111111111</v>
      </c>
      <c r="L9" s="119">
        <f t="shared" si="8"/>
        <v>0.035555555555555556</v>
      </c>
      <c r="M9" s="129">
        <f t="shared" si="5"/>
        <v>40197.83111111111</v>
      </c>
      <c r="N9" s="108">
        <v>0.06</v>
      </c>
      <c r="O9" s="104">
        <f t="shared" si="2"/>
        <v>67833.84</v>
      </c>
      <c r="P9" s="104">
        <f t="shared" si="9"/>
        <v>339169.19999999995</v>
      </c>
      <c r="Q9" s="110">
        <f t="shared" si="10"/>
        <v>0.3</v>
      </c>
      <c r="R9" s="129">
        <f t="shared" si="6"/>
        <v>339169.2</v>
      </c>
    </row>
    <row r="10" spans="1:18" ht="12.75">
      <c r="A10" s="59">
        <v>2008</v>
      </c>
      <c r="B10" s="104">
        <f>Sales!K64</f>
        <v>1130564</v>
      </c>
      <c r="C10" s="114">
        <f t="shared" si="11"/>
        <v>0.9009404153893109</v>
      </c>
      <c r="D10" s="109">
        <v>0.02</v>
      </c>
      <c r="E10" s="104">
        <f t="shared" si="0"/>
        <v>22611.28</v>
      </c>
      <c r="F10" s="104">
        <f t="shared" si="3"/>
        <v>6577.7886385489355</v>
      </c>
      <c r="G10" s="119">
        <f>'2008'!K31</f>
        <v>0.0058181479673410225</v>
      </c>
      <c r="H10" s="130">
        <f t="shared" si="4"/>
        <v>6577.7886385489355</v>
      </c>
      <c r="I10" s="109">
        <v>0.02</v>
      </c>
      <c r="J10" s="104">
        <f t="shared" si="1"/>
        <v>22611.28</v>
      </c>
      <c r="K10" s="104">
        <f t="shared" si="7"/>
        <v>40197.83111111111</v>
      </c>
      <c r="L10" s="119">
        <f t="shared" si="8"/>
        <v>0.035555555555555556</v>
      </c>
      <c r="M10" s="129">
        <f t="shared" si="5"/>
        <v>40197.83111111111</v>
      </c>
      <c r="N10" s="108">
        <v>0.06</v>
      </c>
      <c r="O10" s="104">
        <f t="shared" si="2"/>
        <v>67833.84</v>
      </c>
      <c r="P10" s="104">
        <f t="shared" si="9"/>
        <v>339169.19999999995</v>
      </c>
      <c r="Q10" s="110">
        <f t="shared" si="10"/>
        <v>0.3</v>
      </c>
      <c r="R10" s="129">
        <f t="shared" si="6"/>
        <v>339169.2</v>
      </c>
    </row>
    <row r="11" spans="1:18" ht="12.75">
      <c r="A11" s="59">
        <v>2009</v>
      </c>
      <c r="B11" s="104">
        <f>Sales!M64</f>
        <v>1130564</v>
      </c>
      <c r="C11" s="114">
        <f t="shared" si="11"/>
        <v>0.9009404153893109</v>
      </c>
      <c r="D11" s="108">
        <v>0.025</v>
      </c>
      <c r="E11" s="104">
        <f t="shared" si="0"/>
        <v>28264.100000000002</v>
      </c>
      <c r="F11" s="104">
        <f t="shared" si="3"/>
        <v>8590.7549452244</v>
      </c>
      <c r="G11" s="119">
        <f>'2009'!K31</f>
        <v>0.007598645406385132</v>
      </c>
      <c r="H11" s="130">
        <f t="shared" si="4"/>
        <v>8590.7549452244</v>
      </c>
      <c r="I11" s="108">
        <v>0.025</v>
      </c>
      <c r="J11" s="104">
        <f t="shared" si="1"/>
        <v>28264.100000000002</v>
      </c>
      <c r="K11" s="104">
        <f t="shared" si="7"/>
        <v>50247.28888888889</v>
      </c>
      <c r="L11" s="119">
        <f t="shared" si="8"/>
        <v>0.044444444444444446</v>
      </c>
      <c r="M11" s="129">
        <f t="shared" si="5"/>
        <v>50247.28888888889</v>
      </c>
      <c r="N11" s="108">
        <v>0.06</v>
      </c>
      <c r="O11" s="104">
        <f t="shared" si="2"/>
        <v>67833.84</v>
      </c>
      <c r="P11" s="104">
        <f t="shared" si="9"/>
        <v>339169.19999999995</v>
      </c>
      <c r="Q11" s="110">
        <f t="shared" si="10"/>
        <v>0.3</v>
      </c>
      <c r="R11" s="129">
        <f t="shared" si="6"/>
        <v>339169.2</v>
      </c>
    </row>
    <row r="12" spans="1:18" ht="12.75">
      <c r="A12" s="59">
        <v>2010</v>
      </c>
      <c r="B12" s="104">
        <f>Sales!N64</f>
        <v>1130564</v>
      </c>
      <c r="C12" s="114">
        <f t="shared" si="11"/>
        <v>0.9009404153893109</v>
      </c>
      <c r="D12" s="108">
        <v>0.025</v>
      </c>
      <c r="E12" s="104">
        <f t="shared" si="0"/>
        <v>28264.100000000002</v>
      </c>
      <c r="F12" s="104">
        <f t="shared" si="3"/>
        <v>8782.995317552017</v>
      </c>
      <c r="G12" s="119">
        <f>'2010'!K31</f>
        <v>0.007768684760484162</v>
      </c>
      <c r="H12" s="130">
        <f t="shared" si="4"/>
        <v>8782.995317552017</v>
      </c>
      <c r="I12" s="108">
        <v>0.025</v>
      </c>
      <c r="J12" s="104">
        <f t="shared" si="1"/>
        <v>28264.100000000002</v>
      </c>
      <c r="K12" s="104">
        <f t="shared" si="7"/>
        <v>50247.28888888889</v>
      </c>
      <c r="L12" s="119">
        <f t="shared" si="8"/>
        <v>0.044444444444444446</v>
      </c>
      <c r="M12" s="129">
        <f t="shared" si="5"/>
        <v>50247.28888888889</v>
      </c>
      <c r="N12" s="108">
        <v>0.06</v>
      </c>
      <c r="O12" s="104">
        <f t="shared" si="2"/>
        <v>67833.84</v>
      </c>
      <c r="P12" s="104">
        <f t="shared" si="9"/>
        <v>339169.19999999995</v>
      </c>
      <c r="Q12" s="110">
        <f t="shared" si="10"/>
        <v>0.3</v>
      </c>
      <c r="R12" s="129">
        <f t="shared" si="6"/>
        <v>339169.2</v>
      </c>
    </row>
    <row r="13" spans="1:18" ht="12.75">
      <c r="A13" s="59">
        <v>2011</v>
      </c>
      <c r="B13" s="104">
        <f>Sales!O64</f>
        <v>1130564</v>
      </c>
      <c r="C13" s="114">
        <f t="shared" si="11"/>
        <v>0.9009404153893109</v>
      </c>
      <c r="D13" s="108">
        <v>0.025</v>
      </c>
      <c r="E13" s="104">
        <f t="shared" si="0"/>
        <v>28264.100000000002</v>
      </c>
      <c r="F13" s="104">
        <f t="shared" si="3"/>
        <v>8810.180021515189</v>
      </c>
      <c r="G13" s="119">
        <f>'2011'!K31</f>
        <v>0.007792730019278156</v>
      </c>
      <c r="H13" s="130">
        <f t="shared" si="4"/>
        <v>8810.180021515189</v>
      </c>
      <c r="I13" s="108">
        <v>0.025</v>
      </c>
      <c r="J13" s="104">
        <f t="shared" si="1"/>
        <v>28264.100000000002</v>
      </c>
      <c r="K13" s="104">
        <f t="shared" si="7"/>
        <v>50247.28888888889</v>
      </c>
      <c r="L13" s="119">
        <f t="shared" si="8"/>
        <v>0.044444444444444446</v>
      </c>
      <c r="M13" s="129">
        <f t="shared" si="5"/>
        <v>50247.28888888889</v>
      </c>
      <c r="N13" s="108">
        <v>0.06</v>
      </c>
      <c r="O13" s="104">
        <f t="shared" si="2"/>
        <v>67833.84</v>
      </c>
      <c r="P13" s="104">
        <f t="shared" si="9"/>
        <v>339169.19999999995</v>
      </c>
      <c r="Q13" s="110">
        <f t="shared" si="10"/>
        <v>0.3</v>
      </c>
      <c r="R13" s="129">
        <f t="shared" si="6"/>
        <v>339169.2</v>
      </c>
    </row>
    <row r="14" spans="1:18" ht="12.75">
      <c r="A14" s="59">
        <v>2012</v>
      </c>
      <c r="B14" s="104">
        <f>Sales!Q64</f>
        <v>1130564</v>
      </c>
      <c r="C14" s="114">
        <f t="shared" si="11"/>
        <v>0.9009404153893109</v>
      </c>
      <c r="D14" s="109">
        <v>0.03</v>
      </c>
      <c r="E14" s="104">
        <f t="shared" si="0"/>
        <v>33916.92</v>
      </c>
      <c r="F14" s="104">
        <f t="shared" si="3"/>
        <v>11445.847610285886</v>
      </c>
      <c r="G14" s="119">
        <f>'2012'!K31</f>
        <v>0.010124015633158217</v>
      </c>
      <c r="H14" s="130">
        <f t="shared" si="4"/>
        <v>11445.847610285886</v>
      </c>
      <c r="I14" s="109">
        <v>0.03</v>
      </c>
      <c r="J14" s="104">
        <f t="shared" si="1"/>
        <v>33916.92</v>
      </c>
      <c r="K14" s="104">
        <f t="shared" si="7"/>
        <v>60296.746666666666</v>
      </c>
      <c r="L14" s="119">
        <f t="shared" si="8"/>
        <v>0.05333333333333333</v>
      </c>
      <c r="M14" s="129">
        <f t="shared" si="5"/>
        <v>60296.746666666666</v>
      </c>
      <c r="N14" s="108">
        <v>0.06</v>
      </c>
      <c r="O14" s="104">
        <f t="shared" si="2"/>
        <v>67833.84</v>
      </c>
      <c r="P14" s="104">
        <f t="shared" si="9"/>
        <v>339169.19999999995</v>
      </c>
      <c r="Q14" s="110">
        <f t="shared" si="10"/>
        <v>0.3</v>
      </c>
      <c r="R14" s="129">
        <f t="shared" si="6"/>
        <v>339169.2</v>
      </c>
    </row>
    <row r="15" spans="1:18" ht="12.75">
      <c r="A15" s="59">
        <v>2013</v>
      </c>
      <c r="B15" s="104">
        <f>Sales!R64</f>
        <v>1130564</v>
      </c>
      <c r="C15" s="114">
        <f t="shared" si="11"/>
        <v>0.9009404153893109</v>
      </c>
      <c r="D15" s="109">
        <v>0.03</v>
      </c>
      <c r="E15" s="104">
        <f t="shared" si="0"/>
        <v>33916.92</v>
      </c>
      <c r="F15" s="104">
        <f t="shared" si="3"/>
        <v>11445.847610285886</v>
      </c>
      <c r="G15" s="119">
        <f>'2013'!K31</f>
        <v>0.010124015633158217</v>
      </c>
      <c r="H15" s="130">
        <f t="shared" si="4"/>
        <v>11445.847610285886</v>
      </c>
      <c r="I15" s="109">
        <v>0.03</v>
      </c>
      <c r="J15" s="104">
        <f t="shared" si="1"/>
        <v>33916.92</v>
      </c>
      <c r="K15" s="104">
        <f t="shared" si="7"/>
        <v>60296.746666666666</v>
      </c>
      <c r="L15" s="119">
        <f t="shared" si="8"/>
        <v>0.05333333333333333</v>
      </c>
      <c r="M15" s="129">
        <f t="shared" si="5"/>
        <v>60296.746666666666</v>
      </c>
      <c r="N15" s="108">
        <v>0.06</v>
      </c>
      <c r="O15" s="104">
        <f t="shared" si="2"/>
        <v>67833.84</v>
      </c>
      <c r="P15" s="104">
        <f t="shared" si="9"/>
        <v>339169.19999999995</v>
      </c>
      <c r="Q15" s="110">
        <f t="shared" si="10"/>
        <v>0.3</v>
      </c>
      <c r="R15" s="129">
        <f t="shared" si="6"/>
        <v>339169.2</v>
      </c>
    </row>
    <row r="16" spans="1:18" ht="12.75">
      <c r="A16" s="59">
        <v>2014</v>
      </c>
      <c r="B16" s="104">
        <f>Sales!S64</f>
        <v>1130564</v>
      </c>
      <c r="C16" s="114">
        <f t="shared" si="11"/>
        <v>0.9009404153893109</v>
      </c>
      <c r="D16" s="109">
        <v>0.03</v>
      </c>
      <c r="E16" s="104">
        <f t="shared" si="0"/>
        <v>33916.92</v>
      </c>
      <c r="F16" s="104">
        <f t="shared" si="3"/>
        <v>11445.847610285886</v>
      </c>
      <c r="G16" s="119">
        <f>'2014'!K31</f>
        <v>0.010124015633158217</v>
      </c>
      <c r="H16" s="130">
        <f t="shared" si="4"/>
        <v>11445.847610285886</v>
      </c>
      <c r="I16" s="109">
        <v>0.03</v>
      </c>
      <c r="J16" s="104">
        <f t="shared" si="1"/>
        <v>33916.92</v>
      </c>
      <c r="K16" s="104">
        <f t="shared" si="7"/>
        <v>60296.746666666666</v>
      </c>
      <c r="L16" s="119">
        <f t="shared" si="8"/>
        <v>0.05333333333333333</v>
      </c>
      <c r="M16" s="129">
        <f t="shared" si="5"/>
        <v>60296.746666666666</v>
      </c>
      <c r="N16" s="108">
        <v>0.06</v>
      </c>
      <c r="O16" s="104">
        <f t="shared" si="2"/>
        <v>67833.84</v>
      </c>
      <c r="P16" s="104">
        <f t="shared" si="9"/>
        <v>339169.19999999995</v>
      </c>
      <c r="Q16" s="110">
        <f t="shared" si="10"/>
        <v>0.3</v>
      </c>
      <c r="R16" s="129">
        <f t="shared" si="6"/>
        <v>339169.2</v>
      </c>
    </row>
    <row r="17" spans="1:18" ht="12.75">
      <c r="A17" s="59">
        <v>2015</v>
      </c>
      <c r="B17" s="104">
        <f>Sales!U64</f>
        <v>1130564</v>
      </c>
      <c r="C17" s="114">
        <f t="shared" si="11"/>
        <v>0.9009404153893109</v>
      </c>
      <c r="D17" s="109">
        <v>0.04</v>
      </c>
      <c r="E17" s="104">
        <f t="shared" si="0"/>
        <v>45222.56</v>
      </c>
      <c r="F17" s="104">
        <f t="shared" si="3"/>
        <v>15261.130147047847</v>
      </c>
      <c r="G17" s="119">
        <f>'2015'!K31</f>
        <v>0.01349868751087762</v>
      </c>
      <c r="H17" s="130">
        <f t="shared" si="4"/>
        <v>15261.130147047847</v>
      </c>
      <c r="I17" s="109">
        <v>0.04</v>
      </c>
      <c r="J17" s="104">
        <f t="shared" si="1"/>
        <v>45222.56</v>
      </c>
      <c r="K17" s="104">
        <f t="shared" si="7"/>
        <v>80395.66222222222</v>
      </c>
      <c r="L17" s="119">
        <f t="shared" si="8"/>
        <v>0.07111111111111111</v>
      </c>
      <c r="M17" s="129">
        <f t="shared" si="5"/>
        <v>80395.66222222222</v>
      </c>
      <c r="N17" s="108">
        <v>0.06</v>
      </c>
      <c r="O17" s="104">
        <f t="shared" si="2"/>
        <v>67833.84</v>
      </c>
      <c r="P17" s="104">
        <f t="shared" si="9"/>
        <v>339169.19999999995</v>
      </c>
      <c r="Q17" s="110">
        <f t="shared" si="10"/>
        <v>0.3</v>
      </c>
      <c r="R17" s="129">
        <f t="shared" si="6"/>
        <v>339169.2</v>
      </c>
    </row>
    <row r="18" spans="1:18" ht="12.75">
      <c r="A18" s="59">
        <v>2016</v>
      </c>
      <c r="B18" s="104">
        <f>Sales!V64</f>
        <v>1130564</v>
      </c>
      <c r="C18" s="114">
        <f t="shared" si="11"/>
        <v>0.9009404153893109</v>
      </c>
      <c r="D18" s="109">
        <v>0.04</v>
      </c>
      <c r="E18" s="104">
        <f t="shared" si="0"/>
        <v>45222.56</v>
      </c>
      <c r="F18" s="104">
        <f t="shared" si="3"/>
        <v>15261.130147047847</v>
      </c>
      <c r="G18" s="119">
        <f>'2016'!K31</f>
        <v>0.01349868751087762</v>
      </c>
      <c r="H18" s="130">
        <f t="shared" si="4"/>
        <v>15261.130147047847</v>
      </c>
      <c r="I18" s="109">
        <v>0.04</v>
      </c>
      <c r="J18" s="104">
        <f t="shared" si="1"/>
        <v>45222.56</v>
      </c>
      <c r="K18" s="104">
        <f t="shared" si="7"/>
        <v>80395.66222222222</v>
      </c>
      <c r="L18" s="119">
        <f t="shared" si="8"/>
        <v>0.07111111111111111</v>
      </c>
      <c r="M18" s="129">
        <f t="shared" si="5"/>
        <v>80395.66222222222</v>
      </c>
      <c r="N18" s="108">
        <v>0.06</v>
      </c>
      <c r="O18" s="104">
        <f t="shared" si="2"/>
        <v>67833.84</v>
      </c>
      <c r="P18" s="104">
        <f t="shared" si="9"/>
        <v>339169.19999999995</v>
      </c>
      <c r="Q18" s="110">
        <f t="shared" si="10"/>
        <v>0.3</v>
      </c>
      <c r="R18" s="129">
        <f t="shared" si="6"/>
        <v>339169.2</v>
      </c>
    </row>
    <row r="19" spans="1:18" ht="12.75">
      <c r="A19" s="59">
        <v>2017</v>
      </c>
      <c r="B19" s="104">
        <f>Sales!W64</f>
        <v>1130564</v>
      </c>
      <c r="C19" s="114">
        <f t="shared" si="11"/>
        <v>0.9009404153893109</v>
      </c>
      <c r="D19" s="109">
        <v>0.04</v>
      </c>
      <c r="E19" s="104">
        <f t="shared" si="0"/>
        <v>45222.56</v>
      </c>
      <c r="F19" s="104">
        <f t="shared" si="3"/>
        <v>15261.130147047847</v>
      </c>
      <c r="G19" s="119">
        <f>'2017'!K31</f>
        <v>0.01349868751087762</v>
      </c>
      <c r="H19" s="130">
        <f t="shared" si="4"/>
        <v>15261.130147047847</v>
      </c>
      <c r="I19" s="109">
        <v>0.04</v>
      </c>
      <c r="J19" s="104">
        <f t="shared" si="1"/>
        <v>45222.56</v>
      </c>
      <c r="K19" s="104">
        <f t="shared" si="7"/>
        <v>80395.66222222222</v>
      </c>
      <c r="L19" s="119">
        <f t="shared" si="8"/>
        <v>0.07111111111111111</v>
      </c>
      <c r="M19" s="129">
        <f t="shared" si="5"/>
        <v>80395.66222222222</v>
      </c>
      <c r="N19" s="108">
        <v>0.06</v>
      </c>
      <c r="O19" s="104">
        <f t="shared" si="2"/>
        <v>67833.84</v>
      </c>
      <c r="P19" s="104">
        <f t="shared" si="9"/>
        <v>339169.19999999995</v>
      </c>
      <c r="Q19" s="110">
        <f t="shared" si="10"/>
        <v>0.3</v>
      </c>
      <c r="R19" s="129">
        <f t="shared" si="6"/>
        <v>339169.2</v>
      </c>
    </row>
    <row r="20" spans="1:18" ht="12.75">
      <c r="A20" s="59">
        <v>2018</v>
      </c>
      <c r="B20" s="104">
        <f>Sales!X64</f>
        <v>1130564</v>
      </c>
      <c r="C20" s="114">
        <f t="shared" si="11"/>
        <v>0.9009404153893109</v>
      </c>
      <c r="D20" s="109">
        <v>0.05</v>
      </c>
      <c r="E20" s="104">
        <f t="shared" si="0"/>
        <v>56528.200000000004</v>
      </c>
      <c r="F20" s="104">
        <f t="shared" si="3"/>
        <v>19076.412683809805</v>
      </c>
      <c r="G20" s="118">
        <f>'2018'!K31</f>
        <v>0.016873359388597024</v>
      </c>
      <c r="H20" s="130">
        <f t="shared" si="4"/>
        <v>19076.412683809805</v>
      </c>
      <c r="I20" s="109">
        <v>0.05</v>
      </c>
      <c r="J20" s="104">
        <f t="shared" si="1"/>
        <v>56528.200000000004</v>
      </c>
      <c r="K20" s="104">
        <f t="shared" si="7"/>
        <v>100494.57777777778</v>
      </c>
      <c r="L20" s="119">
        <f t="shared" si="8"/>
        <v>0.08888888888888889</v>
      </c>
      <c r="M20" s="129">
        <f t="shared" si="5"/>
        <v>100494.57777777778</v>
      </c>
      <c r="N20" s="108">
        <v>0.06</v>
      </c>
      <c r="O20" s="104">
        <f t="shared" si="2"/>
        <v>67833.84</v>
      </c>
      <c r="P20" s="104">
        <f t="shared" si="9"/>
        <v>339169.19999999995</v>
      </c>
      <c r="Q20" s="110">
        <f t="shared" si="10"/>
        <v>0.3</v>
      </c>
      <c r="R20" s="129">
        <f t="shared" si="6"/>
        <v>339169.2</v>
      </c>
    </row>
    <row r="21" spans="1:18" ht="12.75">
      <c r="A21" s="59">
        <v>2019</v>
      </c>
      <c r="B21" s="104">
        <f>Sales!Y64</f>
        <v>1130564</v>
      </c>
      <c r="C21" s="114">
        <f t="shared" si="11"/>
        <v>0.9009404153893109</v>
      </c>
      <c r="D21" s="109">
        <v>0.05</v>
      </c>
      <c r="E21" s="104">
        <f t="shared" si="0"/>
        <v>56528.200000000004</v>
      </c>
      <c r="F21" s="104">
        <f t="shared" si="3"/>
        <v>19076.412683809805</v>
      </c>
      <c r="G21" s="119">
        <f>'2019'!K31</f>
        <v>0.016873359388597024</v>
      </c>
      <c r="H21" s="130">
        <f t="shared" si="4"/>
        <v>19076.412683809805</v>
      </c>
      <c r="I21" s="109">
        <v>0.05</v>
      </c>
      <c r="J21" s="104">
        <f t="shared" si="1"/>
        <v>56528.200000000004</v>
      </c>
      <c r="K21" s="104">
        <f t="shared" si="7"/>
        <v>100494.57777777778</v>
      </c>
      <c r="L21" s="119">
        <f t="shared" si="8"/>
        <v>0.08888888888888889</v>
      </c>
      <c r="M21" s="129">
        <f t="shared" si="5"/>
        <v>100494.57777777778</v>
      </c>
      <c r="N21" s="108">
        <v>0.06</v>
      </c>
      <c r="O21" s="104">
        <f t="shared" si="2"/>
        <v>67833.84</v>
      </c>
      <c r="P21" s="104">
        <f t="shared" si="9"/>
        <v>339169.19999999995</v>
      </c>
      <c r="Q21" s="110">
        <f t="shared" si="10"/>
        <v>0.3</v>
      </c>
      <c r="R21" s="129">
        <f t="shared" si="6"/>
        <v>339169.2</v>
      </c>
    </row>
    <row r="22" spans="1:18" ht="12.75">
      <c r="A22" s="59">
        <v>2020</v>
      </c>
      <c r="B22" s="104">
        <f>Sales!Z64</f>
        <v>1130564</v>
      </c>
      <c r="C22" s="114">
        <f t="shared" si="11"/>
        <v>0.9009404153893109</v>
      </c>
      <c r="D22" s="109">
        <v>0.05</v>
      </c>
      <c r="E22" s="104">
        <f t="shared" si="0"/>
        <v>56528.200000000004</v>
      </c>
      <c r="F22" s="104">
        <f t="shared" si="3"/>
        <v>19076.412683809805</v>
      </c>
      <c r="G22" s="119">
        <f>'2020'!K31</f>
        <v>0.016873359388597024</v>
      </c>
      <c r="H22" s="130">
        <f t="shared" si="4"/>
        <v>19076.412683809805</v>
      </c>
      <c r="I22" s="109">
        <v>0.05</v>
      </c>
      <c r="J22" s="104">
        <f t="shared" si="1"/>
        <v>56528.200000000004</v>
      </c>
      <c r="K22" s="104">
        <f t="shared" si="7"/>
        <v>100494.57777777778</v>
      </c>
      <c r="L22" s="119">
        <f t="shared" si="8"/>
        <v>0.08888888888888889</v>
      </c>
      <c r="M22" s="129">
        <f t="shared" si="5"/>
        <v>100494.57777777778</v>
      </c>
      <c r="N22" s="108">
        <v>0.06</v>
      </c>
      <c r="O22" s="104">
        <f t="shared" si="2"/>
        <v>67833.84</v>
      </c>
      <c r="P22" s="104">
        <f t="shared" si="9"/>
        <v>339169.19999999995</v>
      </c>
      <c r="Q22" s="110">
        <f t="shared" si="10"/>
        <v>0.3</v>
      </c>
      <c r="R22" s="129">
        <f t="shared" si="6"/>
        <v>339169.2</v>
      </c>
    </row>
    <row r="23" spans="2:17" ht="12.75">
      <c r="B23" s="33"/>
      <c r="D23" t="s">
        <v>40</v>
      </c>
      <c r="N23" s="111"/>
      <c r="O23" s="111"/>
      <c r="P23" s="111"/>
      <c r="Q23" s="111"/>
    </row>
    <row r="24" spans="1:17" ht="12.75">
      <c r="A24" t="s">
        <v>40</v>
      </c>
      <c r="B24" s="33" t="s">
        <v>40</v>
      </c>
      <c r="H24" s="113"/>
      <c r="N24" s="111"/>
      <c r="O24" s="111"/>
      <c r="P24" s="111"/>
      <c r="Q24" s="111"/>
    </row>
    <row r="25" spans="2:17" ht="12.75">
      <c r="B25" s="33"/>
      <c r="N25" s="111"/>
      <c r="O25" s="111"/>
      <c r="P25" s="111"/>
      <c r="Q25" s="111"/>
    </row>
    <row r="26" spans="1:17" ht="12.75">
      <c r="A26" s="48" t="s">
        <v>175</v>
      </c>
      <c r="N26" s="111"/>
      <c r="O26" s="111"/>
      <c r="P26" s="111"/>
      <c r="Q26" s="111"/>
    </row>
    <row r="27" spans="1:18" ht="12.75">
      <c r="A27" s="150" t="s">
        <v>43</v>
      </c>
      <c r="B27" s="150" t="s">
        <v>171</v>
      </c>
      <c r="C27" s="144" t="s">
        <v>187</v>
      </c>
      <c r="D27" s="166" t="s">
        <v>47</v>
      </c>
      <c r="E27" s="167"/>
      <c r="F27" s="167"/>
      <c r="G27" s="168"/>
      <c r="H27" s="1"/>
      <c r="I27" s="166" t="s">
        <v>100</v>
      </c>
      <c r="J27" s="167"/>
      <c r="K27" s="167"/>
      <c r="L27" s="167"/>
      <c r="M27" s="168"/>
      <c r="N27" s="178" t="s">
        <v>91</v>
      </c>
      <c r="O27" s="178"/>
      <c r="P27" s="178"/>
      <c r="Q27" s="178"/>
      <c r="R27" s="178"/>
    </row>
    <row r="28" spans="1:18" ht="12.75">
      <c r="A28" s="150"/>
      <c r="B28" s="150"/>
      <c r="C28" s="172"/>
      <c r="D28" s="143" t="s">
        <v>172</v>
      </c>
      <c r="E28" s="143" t="s">
        <v>94</v>
      </c>
      <c r="F28" s="143" t="s">
        <v>173</v>
      </c>
      <c r="G28" s="165" t="s">
        <v>182</v>
      </c>
      <c r="H28" s="169" t="s">
        <v>188</v>
      </c>
      <c r="I28" s="143" t="s">
        <v>172</v>
      </c>
      <c r="J28" s="143" t="s">
        <v>94</v>
      </c>
      <c r="K28" s="143" t="s">
        <v>173</v>
      </c>
      <c r="L28" s="143" t="s">
        <v>180</v>
      </c>
      <c r="M28" s="144" t="s">
        <v>188</v>
      </c>
      <c r="N28" s="144" t="s">
        <v>172</v>
      </c>
      <c r="O28" s="144" t="s">
        <v>94</v>
      </c>
      <c r="P28" s="144" t="s">
        <v>173</v>
      </c>
      <c r="Q28" s="163" t="s">
        <v>193</v>
      </c>
      <c r="R28" s="147" t="s">
        <v>197</v>
      </c>
    </row>
    <row r="29" spans="1:18" ht="12.75">
      <c r="A29" s="150"/>
      <c r="B29" s="150"/>
      <c r="C29" s="145"/>
      <c r="D29" s="143"/>
      <c r="E29" s="143"/>
      <c r="F29" s="143"/>
      <c r="G29" s="165"/>
      <c r="H29" s="171"/>
      <c r="I29" s="143"/>
      <c r="J29" s="143"/>
      <c r="K29" s="143"/>
      <c r="L29" s="143"/>
      <c r="M29" s="145"/>
      <c r="N29" s="145"/>
      <c r="O29" s="145"/>
      <c r="P29" s="145"/>
      <c r="Q29" s="173"/>
      <c r="R29" s="148"/>
    </row>
    <row r="30" spans="1:18" ht="12.75">
      <c r="A30" s="59">
        <v>2003</v>
      </c>
      <c r="B30" s="104">
        <v>180000</v>
      </c>
      <c r="C30" s="114">
        <f>B30/(B5+B30)</f>
        <v>0.16402440561656018</v>
      </c>
      <c r="D30" s="108">
        <v>0</v>
      </c>
      <c r="E30" s="104">
        <f aca="true" t="shared" si="12" ref="E30:E47">+B30*D30/100</f>
        <v>0</v>
      </c>
      <c r="F30" s="104">
        <f>Summary!E55</f>
        <v>0</v>
      </c>
      <c r="G30" s="108">
        <v>0</v>
      </c>
      <c r="H30" s="59" t="s">
        <v>189</v>
      </c>
      <c r="I30" s="108">
        <v>0</v>
      </c>
      <c r="J30" s="104">
        <f aca="true" t="shared" si="13" ref="J30:J47">+B30*I30/100</f>
        <v>0</v>
      </c>
      <c r="K30" s="104">
        <f aca="true" t="shared" si="14" ref="K30:L47">(+J30/0.45)/4</f>
        <v>0</v>
      </c>
      <c r="L30" s="104">
        <f t="shared" si="14"/>
        <v>0</v>
      </c>
      <c r="M30" s="104" t="s">
        <v>189</v>
      </c>
      <c r="N30" s="108">
        <v>0.1</v>
      </c>
      <c r="O30" s="104">
        <f aca="true" t="shared" si="15" ref="O30:O47">+B30*N30</f>
        <v>18000</v>
      </c>
      <c r="P30" s="104">
        <f>(+O30/0.2)/4</f>
        <v>22500</v>
      </c>
      <c r="Q30" s="110">
        <f>(N30/4)/0.2</f>
        <v>0.125</v>
      </c>
      <c r="R30" s="129">
        <f>Q30*B30</f>
        <v>22500</v>
      </c>
    </row>
    <row r="31" spans="1:18" ht="12.75">
      <c r="A31" s="59">
        <v>2004</v>
      </c>
      <c r="B31" s="104">
        <v>180000</v>
      </c>
      <c r="C31" s="114">
        <f>B31/(B6+B31)</f>
        <v>0.16402440561656018</v>
      </c>
      <c r="D31" s="108">
        <v>0</v>
      </c>
      <c r="E31" s="104">
        <f t="shared" si="12"/>
        <v>0</v>
      </c>
      <c r="F31" s="104">
        <f>Summary!F55</f>
        <v>0</v>
      </c>
      <c r="G31" s="108">
        <v>0</v>
      </c>
      <c r="H31" s="59" t="s">
        <v>189</v>
      </c>
      <c r="I31" s="108">
        <v>0</v>
      </c>
      <c r="J31" s="104">
        <f t="shared" si="13"/>
        <v>0</v>
      </c>
      <c r="K31" s="104">
        <f t="shared" si="14"/>
        <v>0</v>
      </c>
      <c r="L31" s="104">
        <f t="shared" si="14"/>
        <v>0</v>
      </c>
      <c r="M31" s="104" t="s">
        <v>189</v>
      </c>
      <c r="N31" s="108">
        <v>0.1</v>
      </c>
      <c r="O31" s="104">
        <f t="shared" si="15"/>
        <v>18000</v>
      </c>
      <c r="P31" s="104">
        <f>(+O31/0.2)/2</f>
        <v>45000</v>
      </c>
      <c r="Q31" s="110">
        <f>(N31/2)/0.2</f>
        <v>0.25</v>
      </c>
      <c r="R31" s="129">
        <f aca="true" t="shared" si="16" ref="R31:R47">Q31*B31</f>
        <v>45000</v>
      </c>
    </row>
    <row r="32" spans="1:18" ht="12.75">
      <c r="A32" s="59">
        <v>2005</v>
      </c>
      <c r="B32" s="104">
        <v>180000</v>
      </c>
      <c r="C32" s="114">
        <f>B32/(B7+B32)</f>
        <v>0.16402440561656018</v>
      </c>
      <c r="D32" s="108">
        <v>0</v>
      </c>
      <c r="E32" s="104">
        <f t="shared" si="12"/>
        <v>0</v>
      </c>
      <c r="F32" s="104">
        <f>Summary!G55</f>
        <v>0</v>
      </c>
      <c r="G32" s="108">
        <v>0</v>
      </c>
      <c r="H32" s="59" t="s">
        <v>189</v>
      </c>
      <c r="I32" s="108">
        <v>0</v>
      </c>
      <c r="J32" s="104">
        <f t="shared" si="13"/>
        <v>0</v>
      </c>
      <c r="K32" s="104">
        <f t="shared" si="14"/>
        <v>0</v>
      </c>
      <c r="L32" s="104">
        <f t="shared" si="14"/>
        <v>0</v>
      </c>
      <c r="M32" s="104" t="s">
        <v>189</v>
      </c>
      <c r="N32" s="108">
        <v>0.1</v>
      </c>
      <c r="O32" s="104">
        <f t="shared" si="15"/>
        <v>18000</v>
      </c>
      <c r="P32" s="104">
        <f>(+O32/0.2)/1.33</f>
        <v>67669.17293233082</v>
      </c>
      <c r="Q32" s="110">
        <f>(N32/0.2)/1.33</f>
        <v>0.37593984962406013</v>
      </c>
      <c r="R32" s="129">
        <f t="shared" si="16"/>
        <v>67669.17293233082</v>
      </c>
    </row>
    <row r="33" spans="1:18" ht="12.75">
      <c r="A33" s="59">
        <v>2006</v>
      </c>
      <c r="B33" s="104">
        <v>124307</v>
      </c>
      <c r="C33" s="114">
        <f aca="true" t="shared" si="17" ref="C33:C47">$B$33/($B$8+$B$33)</f>
        <v>0.09905958461068906</v>
      </c>
      <c r="D33" s="108">
        <v>0</v>
      </c>
      <c r="E33" s="104">
        <f t="shared" si="12"/>
        <v>0</v>
      </c>
      <c r="F33" s="104">
        <f>Summary!H55</f>
        <v>0</v>
      </c>
      <c r="G33" s="108">
        <v>0</v>
      </c>
      <c r="H33" s="59" t="s">
        <v>189</v>
      </c>
      <c r="I33" s="108">
        <v>0</v>
      </c>
      <c r="J33" s="104">
        <f t="shared" si="13"/>
        <v>0</v>
      </c>
      <c r="K33" s="104">
        <f t="shared" si="14"/>
        <v>0</v>
      </c>
      <c r="L33" s="104">
        <f t="shared" si="14"/>
        <v>0</v>
      </c>
      <c r="M33" s="104" t="s">
        <v>189</v>
      </c>
      <c r="N33" s="108">
        <v>0.1</v>
      </c>
      <c r="O33" s="104">
        <f t="shared" si="15"/>
        <v>12430.7</v>
      </c>
      <c r="P33" s="104">
        <f aca="true" t="shared" si="18" ref="P33:P47">(+O33/0.2)</f>
        <v>62153.5</v>
      </c>
      <c r="Q33" s="110">
        <f aca="true" t="shared" si="19" ref="Q33:Q47">N33/0.2</f>
        <v>0.5</v>
      </c>
      <c r="R33" s="129">
        <f t="shared" si="16"/>
        <v>62153.5</v>
      </c>
    </row>
    <row r="34" spans="1:18" ht="12.75">
      <c r="A34" s="59">
        <v>2007</v>
      </c>
      <c r="B34" s="104">
        <v>124307</v>
      </c>
      <c r="C34" s="114">
        <f t="shared" si="17"/>
        <v>0.09905958461068906</v>
      </c>
      <c r="D34" s="108">
        <v>0</v>
      </c>
      <c r="E34" s="104">
        <f t="shared" si="12"/>
        <v>0</v>
      </c>
      <c r="F34" s="104">
        <f>Summary!I55</f>
        <v>0</v>
      </c>
      <c r="G34" s="108">
        <v>0</v>
      </c>
      <c r="H34" s="59" t="s">
        <v>189</v>
      </c>
      <c r="I34" s="108">
        <v>0</v>
      </c>
      <c r="J34" s="104">
        <f t="shared" si="13"/>
        <v>0</v>
      </c>
      <c r="K34" s="104">
        <f t="shared" si="14"/>
        <v>0</v>
      </c>
      <c r="L34" s="104">
        <f t="shared" si="14"/>
        <v>0</v>
      </c>
      <c r="M34" s="104" t="s">
        <v>189</v>
      </c>
      <c r="N34" s="108">
        <v>0.1</v>
      </c>
      <c r="O34" s="104">
        <f t="shared" si="15"/>
        <v>12430.7</v>
      </c>
      <c r="P34" s="104">
        <f t="shared" si="18"/>
        <v>62153.5</v>
      </c>
      <c r="Q34" s="110">
        <f t="shared" si="19"/>
        <v>0.5</v>
      </c>
      <c r="R34" s="129">
        <f t="shared" si="16"/>
        <v>62153.5</v>
      </c>
    </row>
    <row r="35" spans="1:18" ht="12.75">
      <c r="A35" s="59">
        <v>2008</v>
      </c>
      <c r="B35" s="104">
        <v>124307</v>
      </c>
      <c r="C35" s="114">
        <f t="shared" si="17"/>
        <v>0.09905958461068906</v>
      </c>
      <c r="D35" s="108">
        <v>0</v>
      </c>
      <c r="E35" s="104">
        <f t="shared" si="12"/>
        <v>0</v>
      </c>
      <c r="F35" s="104">
        <f>Summary!J55</f>
        <v>0</v>
      </c>
      <c r="G35" s="108">
        <v>0</v>
      </c>
      <c r="H35" s="59" t="s">
        <v>189</v>
      </c>
      <c r="I35" s="108">
        <v>0</v>
      </c>
      <c r="J35" s="104">
        <f t="shared" si="13"/>
        <v>0</v>
      </c>
      <c r="K35" s="104">
        <f t="shared" si="14"/>
        <v>0</v>
      </c>
      <c r="L35" s="104">
        <f t="shared" si="14"/>
        <v>0</v>
      </c>
      <c r="M35" s="104" t="s">
        <v>189</v>
      </c>
      <c r="N35" s="108">
        <v>0.1</v>
      </c>
      <c r="O35" s="104">
        <f t="shared" si="15"/>
        <v>12430.7</v>
      </c>
      <c r="P35" s="104">
        <f t="shared" si="18"/>
        <v>62153.5</v>
      </c>
      <c r="Q35" s="110">
        <f t="shared" si="19"/>
        <v>0.5</v>
      </c>
      <c r="R35" s="129">
        <f t="shared" si="16"/>
        <v>62153.5</v>
      </c>
    </row>
    <row r="36" spans="1:19" ht="12.75">
      <c r="A36" s="59">
        <v>2009</v>
      </c>
      <c r="B36" s="104">
        <v>124307</v>
      </c>
      <c r="C36" s="114">
        <f t="shared" si="17"/>
        <v>0.09905958461068906</v>
      </c>
      <c r="D36" s="108">
        <v>0</v>
      </c>
      <c r="E36" s="104">
        <f t="shared" si="12"/>
        <v>0</v>
      </c>
      <c r="F36" s="104">
        <f>Summary!K55</f>
        <v>0</v>
      </c>
      <c r="G36" s="108">
        <v>0</v>
      </c>
      <c r="H36" s="59" t="s">
        <v>189</v>
      </c>
      <c r="I36" s="108">
        <v>0</v>
      </c>
      <c r="J36" s="104">
        <f t="shared" si="13"/>
        <v>0</v>
      </c>
      <c r="K36" s="104">
        <f t="shared" si="14"/>
        <v>0</v>
      </c>
      <c r="L36" s="104">
        <f t="shared" si="14"/>
        <v>0</v>
      </c>
      <c r="M36" s="104" t="s">
        <v>189</v>
      </c>
      <c r="N36" s="108">
        <v>0.1</v>
      </c>
      <c r="O36" s="104">
        <f t="shared" si="15"/>
        <v>12430.7</v>
      </c>
      <c r="P36" s="104">
        <f t="shared" si="18"/>
        <v>62153.5</v>
      </c>
      <c r="Q36" s="110">
        <f t="shared" si="19"/>
        <v>0.5</v>
      </c>
      <c r="R36" s="129">
        <f t="shared" si="16"/>
        <v>62153.5</v>
      </c>
      <c r="S36" t="s">
        <v>40</v>
      </c>
    </row>
    <row r="37" spans="1:18" ht="12.75">
      <c r="A37" s="59">
        <v>2010</v>
      </c>
      <c r="B37" s="104">
        <v>124307</v>
      </c>
      <c r="C37" s="114">
        <f t="shared" si="17"/>
        <v>0.09905958461068906</v>
      </c>
      <c r="D37" s="108">
        <v>0</v>
      </c>
      <c r="E37" s="104">
        <f t="shared" si="12"/>
        <v>0</v>
      </c>
      <c r="F37" s="104">
        <f>Summary!L55</f>
        <v>0</v>
      </c>
      <c r="G37" s="108">
        <v>0</v>
      </c>
      <c r="H37" s="59" t="s">
        <v>189</v>
      </c>
      <c r="I37" s="108">
        <v>0</v>
      </c>
      <c r="J37" s="104">
        <f t="shared" si="13"/>
        <v>0</v>
      </c>
      <c r="K37" s="104">
        <f t="shared" si="14"/>
        <v>0</v>
      </c>
      <c r="L37" s="104">
        <f t="shared" si="14"/>
        <v>0</v>
      </c>
      <c r="M37" s="104" t="s">
        <v>189</v>
      </c>
      <c r="N37" s="108">
        <v>0.1</v>
      </c>
      <c r="O37" s="104">
        <f t="shared" si="15"/>
        <v>12430.7</v>
      </c>
      <c r="P37" s="104">
        <f t="shared" si="18"/>
        <v>62153.5</v>
      </c>
      <c r="Q37" s="110">
        <f t="shared" si="19"/>
        <v>0.5</v>
      </c>
      <c r="R37" s="129">
        <f t="shared" si="16"/>
        <v>62153.5</v>
      </c>
    </row>
    <row r="38" spans="1:18" ht="12.75">
      <c r="A38" s="59">
        <v>2011</v>
      </c>
      <c r="B38" s="104">
        <v>124307</v>
      </c>
      <c r="C38" s="114">
        <f t="shared" si="17"/>
        <v>0.09905958461068906</v>
      </c>
      <c r="D38" s="108">
        <v>0</v>
      </c>
      <c r="E38" s="104">
        <f t="shared" si="12"/>
        <v>0</v>
      </c>
      <c r="F38" s="104">
        <f>Summary!M55</f>
        <v>0</v>
      </c>
      <c r="G38" s="108">
        <v>0</v>
      </c>
      <c r="H38" s="59" t="s">
        <v>189</v>
      </c>
      <c r="I38" s="108">
        <v>0</v>
      </c>
      <c r="J38" s="104">
        <f t="shared" si="13"/>
        <v>0</v>
      </c>
      <c r="K38" s="104">
        <f t="shared" si="14"/>
        <v>0</v>
      </c>
      <c r="L38" s="104">
        <f t="shared" si="14"/>
        <v>0</v>
      </c>
      <c r="M38" s="104" t="s">
        <v>189</v>
      </c>
      <c r="N38" s="108">
        <v>0.1</v>
      </c>
      <c r="O38" s="104">
        <f t="shared" si="15"/>
        <v>12430.7</v>
      </c>
      <c r="P38" s="104">
        <f t="shared" si="18"/>
        <v>62153.5</v>
      </c>
      <c r="Q38" s="110">
        <f t="shared" si="19"/>
        <v>0.5</v>
      </c>
      <c r="R38" s="129">
        <f t="shared" si="16"/>
        <v>62153.5</v>
      </c>
    </row>
    <row r="39" spans="1:18" ht="12.75">
      <c r="A39" s="59">
        <v>2012</v>
      </c>
      <c r="B39" s="104">
        <v>124307</v>
      </c>
      <c r="C39" s="114">
        <f t="shared" si="17"/>
        <v>0.09905958461068906</v>
      </c>
      <c r="D39" s="108">
        <v>0</v>
      </c>
      <c r="E39" s="104">
        <f t="shared" si="12"/>
        <v>0</v>
      </c>
      <c r="F39" s="104">
        <f>Summary!N55</f>
        <v>0</v>
      </c>
      <c r="G39" s="108">
        <v>0</v>
      </c>
      <c r="H39" s="59" t="s">
        <v>189</v>
      </c>
      <c r="I39" s="108">
        <v>0</v>
      </c>
      <c r="J39" s="104">
        <f t="shared" si="13"/>
        <v>0</v>
      </c>
      <c r="K39" s="104">
        <f t="shared" si="14"/>
        <v>0</v>
      </c>
      <c r="L39" s="104">
        <f t="shared" si="14"/>
        <v>0</v>
      </c>
      <c r="M39" s="104" t="s">
        <v>189</v>
      </c>
      <c r="N39" s="108">
        <v>0.1</v>
      </c>
      <c r="O39" s="104">
        <f t="shared" si="15"/>
        <v>12430.7</v>
      </c>
      <c r="P39" s="104">
        <f t="shared" si="18"/>
        <v>62153.5</v>
      </c>
      <c r="Q39" s="110">
        <f t="shared" si="19"/>
        <v>0.5</v>
      </c>
      <c r="R39" s="129">
        <f t="shared" si="16"/>
        <v>62153.5</v>
      </c>
    </row>
    <row r="40" spans="1:18" ht="12.75">
      <c r="A40" s="59">
        <v>2013</v>
      </c>
      <c r="B40" s="104">
        <v>124307</v>
      </c>
      <c r="C40" s="114">
        <f t="shared" si="17"/>
        <v>0.09905958461068906</v>
      </c>
      <c r="D40" s="108">
        <v>0</v>
      </c>
      <c r="E40" s="104">
        <f t="shared" si="12"/>
        <v>0</v>
      </c>
      <c r="F40" s="104">
        <f>Summary!O55</f>
        <v>0</v>
      </c>
      <c r="G40" s="108">
        <v>0</v>
      </c>
      <c r="H40" s="59" t="s">
        <v>189</v>
      </c>
      <c r="I40" s="108">
        <v>0</v>
      </c>
      <c r="J40" s="104">
        <f t="shared" si="13"/>
        <v>0</v>
      </c>
      <c r="K40" s="104">
        <f t="shared" si="14"/>
        <v>0</v>
      </c>
      <c r="L40" s="104">
        <f t="shared" si="14"/>
        <v>0</v>
      </c>
      <c r="M40" s="104" t="s">
        <v>189</v>
      </c>
      <c r="N40" s="108">
        <v>0.1</v>
      </c>
      <c r="O40" s="104">
        <f t="shared" si="15"/>
        <v>12430.7</v>
      </c>
      <c r="P40" s="104">
        <f t="shared" si="18"/>
        <v>62153.5</v>
      </c>
      <c r="Q40" s="110">
        <f t="shared" si="19"/>
        <v>0.5</v>
      </c>
      <c r="R40" s="129">
        <f t="shared" si="16"/>
        <v>62153.5</v>
      </c>
    </row>
    <row r="41" spans="1:18" ht="12.75">
      <c r="A41" s="59">
        <v>2014</v>
      </c>
      <c r="B41" s="104">
        <v>124307</v>
      </c>
      <c r="C41" s="114">
        <f t="shared" si="17"/>
        <v>0.09905958461068906</v>
      </c>
      <c r="D41" s="108">
        <v>0</v>
      </c>
      <c r="E41" s="104">
        <f t="shared" si="12"/>
        <v>0</v>
      </c>
      <c r="F41" s="104">
        <f>Summary!P55</f>
        <v>0</v>
      </c>
      <c r="G41" s="108">
        <v>0</v>
      </c>
      <c r="H41" s="59" t="s">
        <v>189</v>
      </c>
      <c r="I41" s="108">
        <v>0</v>
      </c>
      <c r="J41" s="104">
        <f t="shared" si="13"/>
        <v>0</v>
      </c>
      <c r="K41" s="104">
        <f t="shared" si="14"/>
        <v>0</v>
      </c>
      <c r="L41" s="104">
        <f t="shared" si="14"/>
        <v>0</v>
      </c>
      <c r="M41" s="104" t="s">
        <v>189</v>
      </c>
      <c r="N41" s="108">
        <v>0.1</v>
      </c>
      <c r="O41" s="104">
        <f t="shared" si="15"/>
        <v>12430.7</v>
      </c>
      <c r="P41" s="104">
        <f t="shared" si="18"/>
        <v>62153.5</v>
      </c>
      <c r="Q41" s="110">
        <f t="shared" si="19"/>
        <v>0.5</v>
      </c>
      <c r="R41" s="129">
        <f t="shared" si="16"/>
        <v>62153.5</v>
      </c>
    </row>
    <row r="42" spans="1:18" ht="12.75">
      <c r="A42" s="59">
        <v>2015</v>
      </c>
      <c r="B42" s="104">
        <v>124307</v>
      </c>
      <c r="C42" s="114">
        <f t="shared" si="17"/>
        <v>0.09905958461068906</v>
      </c>
      <c r="D42" s="108">
        <v>0</v>
      </c>
      <c r="E42" s="104">
        <f t="shared" si="12"/>
        <v>0</v>
      </c>
      <c r="F42" s="104">
        <f>Summary!Q55</f>
        <v>0</v>
      </c>
      <c r="G42" s="108">
        <v>0</v>
      </c>
      <c r="H42" s="59" t="s">
        <v>189</v>
      </c>
      <c r="I42" s="108">
        <v>0</v>
      </c>
      <c r="J42" s="104">
        <f t="shared" si="13"/>
        <v>0</v>
      </c>
      <c r="K42" s="104">
        <f t="shared" si="14"/>
        <v>0</v>
      </c>
      <c r="L42" s="104">
        <f t="shared" si="14"/>
        <v>0</v>
      </c>
      <c r="M42" s="104" t="s">
        <v>189</v>
      </c>
      <c r="N42" s="108">
        <v>0.1</v>
      </c>
      <c r="O42" s="104">
        <f t="shared" si="15"/>
        <v>12430.7</v>
      </c>
      <c r="P42" s="104">
        <f t="shared" si="18"/>
        <v>62153.5</v>
      </c>
      <c r="Q42" s="110">
        <f t="shared" si="19"/>
        <v>0.5</v>
      </c>
      <c r="R42" s="129">
        <f t="shared" si="16"/>
        <v>62153.5</v>
      </c>
    </row>
    <row r="43" spans="1:18" ht="12.75">
      <c r="A43" s="59">
        <v>2016</v>
      </c>
      <c r="B43" s="104">
        <v>124307</v>
      </c>
      <c r="C43" s="114">
        <f t="shared" si="17"/>
        <v>0.09905958461068906</v>
      </c>
      <c r="D43" s="108">
        <v>0</v>
      </c>
      <c r="E43" s="104">
        <f t="shared" si="12"/>
        <v>0</v>
      </c>
      <c r="F43" s="104">
        <f>Summary!R55</f>
        <v>0</v>
      </c>
      <c r="G43" s="108">
        <v>0</v>
      </c>
      <c r="H43" s="59" t="s">
        <v>189</v>
      </c>
      <c r="I43" s="108">
        <v>0</v>
      </c>
      <c r="J43" s="104">
        <f t="shared" si="13"/>
        <v>0</v>
      </c>
      <c r="K43" s="104">
        <f t="shared" si="14"/>
        <v>0</v>
      </c>
      <c r="L43" s="104">
        <f t="shared" si="14"/>
        <v>0</v>
      </c>
      <c r="M43" s="104" t="s">
        <v>189</v>
      </c>
      <c r="N43" s="108">
        <v>0.1</v>
      </c>
      <c r="O43" s="104">
        <f t="shared" si="15"/>
        <v>12430.7</v>
      </c>
      <c r="P43" s="104">
        <f t="shared" si="18"/>
        <v>62153.5</v>
      </c>
      <c r="Q43" s="110">
        <f t="shared" si="19"/>
        <v>0.5</v>
      </c>
      <c r="R43" s="129">
        <f t="shared" si="16"/>
        <v>62153.5</v>
      </c>
    </row>
    <row r="44" spans="1:18" ht="12.75">
      <c r="A44" s="59">
        <v>2017</v>
      </c>
      <c r="B44" s="104">
        <v>124307</v>
      </c>
      <c r="C44" s="114">
        <f t="shared" si="17"/>
        <v>0.09905958461068906</v>
      </c>
      <c r="D44" s="108">
        <v>0</v>
      </c>
      <c r="E44" s="104">
        <f t="shared" si="12"/>
        <v>0</v>
      </c>
      <c r="F44" s="104">
        <f>Summary!S55</f>
        <v>0</v>
      </c>
      <c r="G44" s="108">
        <v>0</v>
      </c>
      <c r="H44" s="59" t="s">
        <v>189</v>
      </c>
      <c r="I44" s="108">
        <v>0</v>
      </c>
      <c r="J44" s="104">
        <f t="shared" si="13"/>
        <v>0</v>
      </c>
      <c r="K44" s="104">
        <f t="shared" si="14"/>
        <v>0</v>
      </c>
      <c r="L44" s="104">
        <f t="shared" si="14"/>
        <v>0</v>
      </c>
      <c r="M44" s="104" t="s">
        <v>189</v>
      </c>
      <c r="N44" s="108">
        <v>0.1</v>
      </c>
      <c r="O44" s="104">
        <f t="shared" si="15"/>
        <v>12430.7</v>
      </c>
      <c r="P44" s="104">
        <f t="shared" si="18"/>
        <v>62153.5</v>
      </c>
      <c r="Q44" s="110">
        <f t="shared" si="19"/>
        <v>0.5</v>
      </c>
      <c r="R44" s="129">
        <f t="shared" si="16"/>
        <v>62153.5</v>
      </c>
    </row>
    <row r="45" spans="1:18" ht="12.75">
      <c r="A45" s="59">
        <v>2018</v>
      </c>
      <c r="B45" s="104">
        <v>124307</v>
      </c>
      <c r="C45" s="114">
        <f t="shared" si="17"/>
        <v>0.09905958461068906</v>
      </c>
      <c r="D45" s="108">
        <v>0</v>
      </c>
      <c r="E45" s="104">
        <f t="shared" si="12"/>
        <v>0</v>
      </c>
      <c r="F45" s="104">
        <f>Summary!T55</f>
        <v>0</v>
      </c>
      <c r="G45" s="108">
        <v>0</v>
      </c>
      <c r="H45" s="59" t="s">
        <v>189</v>
      </c>
      <c r="I45" s="108">
        <v>0</v>
      </c>
      <c r="J45" s="104">
        <f t="shared" si="13"/>
        <v>0</v>
      </c>
      <c r="K45" s="104">
        <f t="shared" si="14"/>
        <v>0</v>
      </c>
      <c r="L45" s="104">
        <f t="shared" si="14"/>
        <v>0</v>
      </c>
      <c r="M45" s="104" t="s">
        <v>189</v>
      </c>
      <c r="N45" s="108">
        <v>0.1</v>
      </c>
      <c r="O45" s="104">
        <f t="shared" si="15"/>
        <v>12430.7</v>
      </c>
      <c r="P45" s="104">
        <f t="shared" si="18"/>
        <v>62153.5</v>
      </c>
      <c r="Q45" s="110">
        <f t="shared" si="19"/>
        <v>0.5</v>
      </c>
      <c r="R45" s="129">
        <f t="shared" si="16"/>
        <v>62153.5</v>
      </c>
    </row>
    <row r="46" spans="1:18" ht="12.75">
      <c r="A46" s="59">
        <v>2019</v>
      </c>
      <c r="B46" s="104">
        <v>124307</v>
      </c>
      <c r="C46" s="114">
        <f t="shared" si="17"/>
        <v>0.09905958461068906</v>
      </c>
      <c r="D46" s="108">
        <v>0</v>
      </c>
      <c r="E46" s="104">
        <f t="shared" si="12"/>
        <v>0</v>
      </c>
      <c r="F46" s="104">
        <f>Summary!U55</f>
        <v>0</v>
      </c>
      <c r="G46" s="108">
        <v>0</v>
      </c>
      <c r="H46" s="59" t="s">
        <v>189</v>
      </c>
      <c r="I46" s="108">
        <v>0</v>
      </c>
      <c r="J46" s="104">
        <f t="shared" si="13"/>
        <v>0</v>
      </c>
      <c r="K46" s="104">
        <f t="shared" si="14"/>
        <v>0</v>
      </c>
      <c r="L46" s="104">
        <f t="shared" si="14"/>
        <v>0</v>
      </c>
      <c r="M46" s="104" t="s">
        <v>189</v>
      </c>
      <c r="N46" s="108">
        <v>0.1</v>
      </c>
      <c r="O46" s="104">
        <f t="shared" si="15"/>
        <v>12430.7</v>
      </c>
      <c r="P46" s="104">
        <f t="shared" si="18"/>
        <v>62153.5</v>
      </c>
      <c r="Q46" s="110">
        <f t="shared" si="19"/>
        <v>0.5</v>
      </c>
      <c r="R46" s="129">
        <f t="shared" si="16"/>
        <v>62153.5</v>
      </c>
    </row>
    <row r="47" spans="1:18" ht="12.75">
      <c r="A47" s="59">
        <v>2020</v>
      </c>
      <c r="B47" s="104">
        <v>124307</v>
      </c>
      <c r="C47" s="114">
        <f t="shared" si="17"/>
        <v>0.09905958461068906</v>
      </c>
      <c r="D47" s="108">
        <v>0</v>
      </c>
      <c r="E47" s="104">
        <f t="shared" si="12"/>
        <v>0</v>
      </c>
      <c r="F47" s="104">
        <f>Summary!V55</f>
        <v>0</v>
      </c>
      <c r="G47" s="108">
        <v>0</v>
      </c>
      <c r="H47" s="59" t="s">
        <v>189</v>
      </c>
      <c r="I47" s="108">
        <v>0</v>
      </c>
      <c r="J47" s="104">
        <f t="shared" si="13"/>
        <v>0</v>
      </c>
      <c r="K47" s="104">
        <f t="shared" si="14"/>
        <v>0</v>
      </c>
      <c r="L47" s="104">
        <f t="shared" si="14"/>
        <v>0</v>
      </c>
      <c r="M47" s="104" t="s">
        <v>189</v>
      </c>
      <c r="N47" s="108">
        <v>0.1</v>
      </c>
      <c r="O47" s="104">
        <f t="shared" si="15"/>
        <v>12430.7</v>
      </c>
      <c r="P47" s="104">
        <f t="shared" si="18"/>
        <v>62153.5</v>
      </c>
      <c r="Q47" s="110">
        <f t="shared" si="19"/>
        <v>0.5</v>
      </c>
      <c r="R47" s="129">
        <f t="shared" si="16"/>
        <v>62153.5</v>
      </c>
    </row>
    <row r="48" spans="2:18" ht="12.75">
      <c r="B48" s="33"/>
      <c r="D48" s="102"/>
      <c r="E48" s="33"/>
      <c r="F48" s="33"/>
      <c r="G48" s="33"/>
      <c r="I48" s="102"/>
      <c r="J48" s="33"/>
      <c r="K48" s="33"/>
      <c r="L48" s="33"/>
      <c r="M48" s="33"/>
      <c r="N48" s="112"/>
      <c r="O48" s="113"/>
      <c r="P48" s="113"/>
      <c r="Q48" s="111"/>
      <c r="R48" t="s">
        <v>40</v>
      </c>
    </row>
    <row r="49" spans="1:17" ht="12.75">
      <c r="A49" s="48" t="s">
        <v>176</v>
      </c>
      <c r="N49" s="111"/>
      <c r="O49" s="111"/>
      <c r="P49" s="111"/>
      <c r="Q49" s="111"/>
    </row>
    <row r="50" spans="1:19" ht="12.75" customHeight="1">
      <c r="A50" s="150" t="s">
        <v>43</v>
      </c>
      <c r="B50" s="150" t="s">
        <v>171</v>
      </c>
      <c r="C50" s="169" t="s">
        <v>188</v>
      </c>
      <c r="D50" s="178" t="s">
        <v>47</v>
      </c>
      <c r="E50" s="178"/>
      <c r="F50" s="178"/>
      <c r="G50" s="178"/>
      <c r="H50" s="178"/>
      <c r="I50" s="178" t="s">
        <v>100</v>
      </c>
      <c r="J50" s="178"/>
      <c r="K50" s="178"/>
      <c r="L50" s="178"/>
      <c r="M50" s="178"/>
      <c r="N50" s="178" t="s">
        <v>91</v>
      </c>
      <c r="O50" s="178"/>
      <c r="P50" s="178"/>
      <c r="Q50" s="178"/>
      <c r="R50" s="178"/>
      <c r="S50" s="163" t="s">
        <v>190</v>
      </c>
    </row>
    <row r="51" spans="1:19" ht="12.75" customHeight="1">
      <c r="A51" s="150"/>
      <c r="B51" s="150"/>
      <c r="C51" s="170"/>
      <c r="D51" s="145" t="s">
        <v>172</v>
      </c>
      <c r="E51" s="145" t="s">
        <v>94</v>
      </c>
      <c r="F51" s="145" t="s">
        <v>173</v>
      </c>
      <c r="G51" s="144" t="s">
        <v>197</v>
      </c>
      <c r="H51" s="179" t="s">
        <v>193</v>
      </c>
      <c r="I51" s="143" t="s">
        <v>172</v>
      </c>
      <c r="J51" s="143" t="s">
        <v>94</v>
      </c>
      <c r="K51" s="143" t="s">
        <v>181</v>
      </c>
      <c r="L51" s="144" t="s">
        <v>197</v>
      </c>
      <c r="M51" s="175" t="s">
        <v>193</v>
      </c>
      <c r="N51" s="144" t="s">
        <v>172</v>
      </c>
      <c r="O51" s="144" t="s">
        <v>94</v>
      </c>
      <c r="P51" s="144" t="s">
        <v>173</v>
      </c>
      <c r="Q51" s="144" t="s">
        <v>197</v>
      </c>
      <c r="R51" s="175" t="s">
        <v>193</v>
      </c>
      <c r="S51" s="177"/>
    </row>
    <row r="52" spans="1:19" ht="12.75">
      <c r="A52" s="150"/>
      <c r="B52" s="150"/>
      <c r="C52" s="171"/>
      <c r="D52" s="143"/>
      <c r="E52" s="143"/>
      <c r="F52" s="143"/>
      <c r="G52" s="145"/>
      <c r="H52" s="145"/>
      <c r="I52" s="143"/>
      <c r="J52" s="143"/>
      <c r="K52" s="143"/>
      <c r="L52" s="145"/>
      <c r="M52" s="145"/>
      <c r="N52" s="145"/>
      <c r="O52" s="145"/>
      <c r="P52" s="145"/>
      <c r="Q52" s="172"/>
      <c r="R52" s="176"/>
      <c r="S52" s="173"/>
    </row>
    <row r="53" spans="1:19" ht="12.75" customHeight="1">
      <c r="A53" s="59">
        <v>2003</v>
      </c>
      <c r="B53" s="104">
        <f>+B30+B5</f>
        <v>1097397.6666666665</v>
      </c>
      <c r="C53" s="59" t="s">
        <v>189</v>
      </c>
      <c r="D53" s="132">
        <f>D5*C5</f>
        <v>0.0167195118876688</v>
      </c>
      <c r="E53" s="104">
        <f aca="true" t="shared" si="20" ref="E53:F70">+E30+E5</f>
        <v>18347.953333333335</v>
      </c>
      <c r="F53" s="104">
        <f t="shared" si="20"/>
        <v>4420.237470824074</v>
      </c>
      <c r="G53" s="129">
        <f>H53*B53</f>
        <v>4420.237470824073</v>
      </c>
      <c r="H53" s="119">
        <f>G5*C5</f>
        <v>0.004027926799088699</v>
      </c>
      <c r="I53" s="132">
        <f>I5*C5</f>
        <v>0.0167195118876688</v>
      </c>
      <c r="J53" s="104">
        <f aca="true" t="shared" si="21" ref="J53:K70">+J30+J5</f>
        <v>18347.953333333335</v>
      </c>
      <c r="K53" s="104">
        <f t="shared" si="21"/>
        <v>10193.307407407408</v>
      </c>
      <c r="L53" s="129">
        <f>M53*B53</f>
        <v>10193.307407407407</v>
      </c>
      <c r="M53" s="119">
        <f>L5*(B5/B53)</f>
        <v>0.009288617715371554</v>
      </c>
      <c r="N53" s="103" t="s">
        <v>107</v>
      </c>
      <c r="O53" s="104">
        <f aca="true" t="shared" si="22" ref="O53:P70">+O30+O5</f>
        <v>73043.85999999999</v>
      </c>
      <c r="P53" s="104">
        <f t="shared" si="22"/>
        <v>91304.82499999998</v>
      </c>
      <c r="Q53" s="104">
        <f aca="true" t="shared" si="23" ref="Q53:Q70">R53*B53</f>
        <v>91304.825</v>
      </c>
      <c r="R53" s="121">
        <f aca="true" t="shared" si="24" ref="R53:R70">Q5*C5+Q30*C30</f>
        <v>0.08320122028082802</v>
      </c>
      <c r="S53" s="119">
        <f aca="true" t="shared" si="25" ref="S53:S70">M53+R53</f>
        <v>0.09248983799619957</v>
      </c>
    </row>
    <row r="54" spans="1:19" ht="12.75">
      <c r="A54" s="59">
        <v>2004</v>
      </c>
      <c r="B54" s="104">
        <f aca="true" t="shared" si="26" ref="B54:B70">+B31+B6</f>
        <v>1097397.6666666665</v>
      </c>
      <c r="C54" s="59" t="s">
        <v>189</v>
      </c>
      <c r="D54" s="132">
        <f aca="true" t="shared" si="27" ref="D54:D70">D6*C6</f>
        <v>0.0167195118876688</v>
      </c>
      <c r="E54" s="104">
        <f t="shared" si="20"/>
        <v>18347.953333333335</v>
      </c>
      <c r="F54" s="104">
        <f t="shared" si="20"/>
        <v>4420.237470824074</v>
      </c>
      <c r="G54" s="129">
        <f aca="true" t="shared" si="28" ref="G54:G70">H54*B54</f>
        <v>4420.237470824073</v>
      </c>
      <c r="H54" s="119">
        <f aca="true" t="shared" si="29" ref="H54:H70">G6*C6</f>
        <v>0.004027926799088699</v>
      </c>
      <c r="I54" s="132">
        <f aca="true" t="shared" si="30" ref="I54:I70">I6*C6</f>
        <v>0.0167195118876688</v>
      </c>
      <c r="J54" s="104">
        <f t="shared" si="21"/>
        <v>18347.953333333335</v>
      </c>
      <c r="K54" s="104">
        <f t="shared" si="21"/>
        <v>20386.614814814817</v>
      </c>
      <c r="L54" s="129">
        <f aca="true" t="shared" si="31" ref="L54:L70">M54*B54</f>
        <v>20386.614814814813</v>
      </c>
      <c r="M54" s="119">
        <f aca="true" t="shared" si="32" ref="M54:M70">L6*(B6/B54)</f>
        <v>0.01857723543074311</v>
      </c>
      <c r="N54" s="103" t="s">
        <v>107</v>
      </c>
      <c r="O54" s="104">
        <f t="shared" si="22"/>
        <v>73043.85999999999</v>
      </c>
      <c r="P54" s="104">
        <f t="shared" si="22"/>
        <v>182609.64999999997</v>
      </c>
      <c r="Q54" s="104">
        <f t="shared" si="23"/>
        <v>182609.65</v>
      </c>
      <c r="R54" s="121">
        <f t="shared" si="24"/>
        <v>0.16640244056165604</v>
      </c>
      <c r="S54" s="119">
        <f t="shared" si="25"/>
        <v>0.18497967599239915</v>
      </c>
    </row>
    <row r="55" spans="1:19" ht="12.75">
      <c r="A55" s="59">
        <v>2005</v>
      </c>
      <c r="B55" s="104">
        <f t="shared" si="26"/>
        <v>1097397.6666666665</v>
      </c>
      <c r="C55" s="59" t="s">
        <v>189</v>
      </c>
      <c r="D55" s="132">
        <f t="shared" si="27"/>
        <v>0.0167195118876688</v>
      </c>
      <c r="E55" s="104">
        <f t="shared" si="20"/>
        <v>18347.953333333335</v>
      </c>
      <c r="F55" s="104">
        <f t="shared" si="20"/>
        <v>4418.008385022636</v>
      </c>
      <c r="G55" s="129">
        <f t="shared" si="28"/>
        <v>4418.008385022636</v>
      </c>
      <c r="H55" s="119">
        <f t="shared" si="29"/>
        <v>0.004025895552012871</v>
      </c>
      <c r="I55" s="132">
        <f t="shared" si="30"/>
        <v>0.0167195118876688</v>
      </c>
      <c r="J55" s="104">
        <f t="shared" si="21"/>
        <v>18347.953333333335</v>
      </c>
      <c r="K55" s="104">
        <f t="shared" si="21"/>
        <v>24525.25090504038</v>
      </c>
      <c r="L55" s="129">
        <f t="shared" si="31"/>
        <v>24525.250905040375</v>
      </c>
      <c r="M55" s="119">
        <f>L7*(B7/B55)</f>
        <v>0.022348553901645845</v>
      </c>
      <c r="N55" s="103" t="s">
        <v>107</v>
      </c>
      <c r="O55" s="104">
        <f t="shared" si="22"/>
        <v>73043.85999999999</v>
      </c>
      <c r="P55" s="104">
        <f t="shared" si="22"/>
        <v>274600.977443609</v>
      </c>
      <c r="Q55" s="104">
        <f t="shared" si="23"/>
        <v>274600.977443609</v>
      </c>
      <c r="R55" s="121">
        <f t="shared" si="24"/>
        <v>0.2502292339273023</v>
      </c>
      <c r="S55" s="119">
        <f t="shared" si="25"/>
        <v>0.27257778782894815</v>
      </c>
    </row>
    <row r="56" spans="1:19" ht="12.75">
      <c r="A56" s="59">
        <v>2006</v>
      </c>
      <c r="B56" s="104">
        <f t="shared" si="26"/>
        <v>1254871</v>
      </c>
      <c r="C56" s="59" t="s">
        <v>189</v>
      </c>
      <c r="D56" s="132">
        <f t="shared" si="27"/>
        <v>0.018018808307786217</v>
      </c>
      <c r="E56" s="104">
        <f t="shared" si="20"/>
        <v>22611.28</v>
      </c>
      <c r="F56" s="104">
        <f t="shared" si="20"/>
        <v>6570.033682114932</v>
      </c>
      <c r="G56" s="129">
        <f t="shared" si="28"/>
        <v>6570.033682114931</v>
      </c>
      <c r="H56" s="119">
        <f t="shared" si="29"/>
        <v>0.0052356247631150385</v>
      </c>
      <c r="I56" s="132">
        <f t="shared" si="30"/>
        <v>0.018018808307786217</v>
      </c>
      <c r="J56" s="104">
        <f t="shared" si="21"/>
        <v>22611.28</v>
      </c>
      <c r="K56" s="104">
        <f t="shared" si="21"/>
        <v>40197.83111111111</v>
      </c>
      <c r="L56" s="129">
        <f t="shared" si="31"/>
        <v>40197.83111111111</v>
      </c>
      <c r="M56" s="119">
        <f t="shared" si="32"/>
        <v>0.032033436991619944</v>
      </c>
      <c r="N56" s="103" t="s">
        <v>107</v>
      </c>
      <c r="O56" s="104">
        <f t="shared" si="22"/>
        <v>80264.54</v>
      </c>
      <c r="P56" s="104">
        <f t="shared" si="22"/>
        <v>401322.69999999995</v>
      </c>
      <c r="Q56" s="104">
        <f t="shared" si="23"/>
        <v>401322.69999999995</v>
      </c>
      <c r="R56" s="121">
        <f t="shared" si="24"/>
        <v>0.3198119169221378</v>
      </c>
      <c r="S56" s="119">
        <f t="shared" si="25"/>
        <v>0.3518453539137577</v>
      </c>
    </row>
    <row r="57" spans="1:19" ht="12.75">
      <c r="A57" s="59">
        <v>2007</v>
      </c>
      <c r="B57" s="104">
        <f t="shared" si="26"/>
        <v>1254871</v>
      </c>
      <c r="C57" s="59" t="s">
        <v>189</v>
      </c>
      <c r="D57" s="132">
        <f t="shared" si="27"/>
        <v>0.018018808307786217</v>
      </c>
      <c r="E57" s="104">
        <f t="shared" si="20"/>
        <v>22611.28</v>
      </c>
      <c r="F57" s="104">
        <f t="shared" si="20"/>
        <v>6611.758618888398</v>
      </c>
      <c r="G57" s="129">
        <f t="shared" si="28"/>
        <v>6611.758618888399</v>
      </c>
      <c r="H57" s="119">
        <f t="shared" si="29"/>
        <v>0.005268875142455598</v>
      </c>
      <c r="I57" s="132">
        <f t="shared" si="30"/>
        <v>0.018018808307786217</v>
      </c>
      <c r="J57" s="104">
        <f t="shared" si="21"/>
        <v>22611.28</v>
      </c>
      <c r="K57" s="104">
        <f t="shared" si="21"/>
        <v>40197.83111111111</v>
      </c>
      <c r="L57" s="129">
        <f t="shared" si="31"/>
        <v>40197.83111111111</v>
      </c>
      <c r="M57" s="119">
        <f t="shared" si="32"/>
        <v>0.032033436991619944</v>
      </c>
      <c r="N57" s="103" t="s">
        <v>107</v>
      </c>
      <c r="O57" s="104">
        <f t="shared" si="22"/>
        <v>80264.54</v>
      </c>
      <c r="P57" s="104">
        <f t="shared" si="22"/>
        <v>401322.69999999995</v>
      </c>
      <c r="Q57" s="104">
        <f t="shared" si="23"/>
        <v>401322.69999999995</v>
      </c>
      <c r="R57" s="121">
        <f t="shared" si="24"/>
        <v>0.3198119169221378</v>
      </c>
      <c r="S57" s="119">
        <f t="shared" si="25"/>
        <v>0.3518453539137577</v>
      </c>
    </row>
    <row r="58" spans="1:19" ht="12.75">
      <c r="A58" s="59">
        <v>2008</v>
      </c>
      <c r="B58" s="104">
        <f t="shared" si="26"/>
        <v>1254871</v>
      </c>
      <c r="C58" s="59" t="s">
        <v>189</v>
      </c>
      <c r="D58" s="132">
        <f t="shared" si="27"/>
        <v>0.018018808307786217</v>
      </c>
      <c r="E58" s="104">
        <f t="shared" si="20"/>
        <v>22611.28</v>
      </c>
      <c r="F58" s="104">
        <f t="shared" si="20"/>
        <v>6577.7886385489355</v>
      </c>
      <c r="G58" s="129">
        <f t="shared" si="28"/>
        <v>6577.7886385489355</v>
      </c>
      <c r="H58" s="119">
        <f t="shared" si="29"/>
        <v>0.005241804646492695</v>
      </c>
      <c r="I58" s="132">
        <f t="shared" si="30"/>
        <v>0.018018808307786217</v>
      </c>
      <c r="J58" s="104">
        <f t="shared" si="21"/>
        <v>22611.28</v>
      </c>
      <c r="K58" s="104">
        <f t="shared" si="21"/>
        <v>40197.83111111111</v>
      </c>
      <c r="L58" s="129">
        <f t="shared" si="31"/>
        <v>40197.83111111111</v>
      </c>
      <c r="M58" s="119">
        <f t="shared" si="32"/>
        <v>0.032033436991619944</v>
      </c>
      <c r="N58" s="103" t="s">
        <v>107</v>
      </c>
      <c r="O58" s="104">
        <f t="shared" si="22"/>
        <v>80264.54</v>
      </c>
      <c r="P58" s="104">
        <f t="shared" si="22"/>
        <v>401322.69999999995</v>
      </c>
      <c r="Q58" s="104">
        <f t="shared" si="23"/>
        <v>401322.69999999995</v>
      </c>
      <c r="R58" s="121">
        <f t="shared" si="24"/>
        <v>0.3198119169221378</v>
      </c>
      <c r="S58" s="119">
        <f t="shared" si="25"/>
        <v>0.3518453539137577</v>
      </c>
    </row>
    <row r="59" spans="1:19" ht="12.75">
      <c r="A59" s="59">
        <v>2009</v>
      </c>
      <c r="B59" s="104">
        <f t="shared" si="26"/>
        <v>1254871</v>
      </c>
      <c r="C59" s="59" t="s">
        <v>189</v>
      </c>
      <c r="D59" s="132">
        <f t="shared" si="27"/>
        <v>0.022523510384732773</v>
      </c>
      <c r="E59" s="104">
        <f t="shared" si="20"/>
        <v>28264.100000000002</v>
      </c>
      <c r="F59" s="104">
        <f t="shared" si="20"/>
        <v>8590.7549452244</v>
      </c>
      <c r="G59" s="129">
        <f t="shared" si="28"/>
        <v>8590.7549452244</v>
      </c>
      <c r="H59" s="119">
        <f t="shared" si="29"/>
        <v>0.006845926748824701</v>
      </c>
      <c r="I59" s="132">
        <f t="shared" si="30"/>
        <v>0.022523510384732773</v>
      </c>
      <c r="J59" s="104">
        <f t="shared" si="21"/>
        <v>28264.100000000002</v>
      </c>
      <c r="K59" s="104">
        <f t="shared" si="21"/>
        <v>50247.28888888889</v>
      </c>
      <c r="L59" s="129">
        <f t="shared" si="31"/>
        <v>50247.28888888889</v>
      </c>
      <c r="M59" s="119">
        <f t="shared" si="32"/>
        <v>0.04004179623952493</v>
      </c>
      <c r="N59" s="103" t="s">
        <v>107</v>
      </c>
      <c r="O59" s="104">
        <f t="shared" si="22"/>
        <v>80264.54</v>
      </c>
      <c r="P59" s="104">
        <f t="shared" si="22"/>
        <v>401322.69999999995</v>
      </c>
      <c r="Q59" s="104">
        <f t="shared" si="23"/>
        <v>401322.69999999995</v>
      </c>
      <c r="R59" s="121">
        <f t="shared" si="24"/>
        <v>0.3198119169221378</v>
      </c>
      <c r="S59" s="119">
        <f t="shared" si="25"/>
        <v>0.3598537131616627</v>
      </c>
    </row>
    <row r="60" spans="1:19" ht="12.75">
      <c r="A60" s="59">
        <v>2010</v>
      </c>
      <c r="B60" s="104">
        <f t="shared" si="26"/>
        <v>1254871</v>
      </c>
      <c r="C60" s="59" t="s">
        <v>189</v>
      </c>
      <c r="D60" s="132">
        <f t="shared" si="27"/>
        <v>0.022523510384732773</v>
      </c>
      <c r="E60" s="104">
        <f t="shared" si="20"/>
        <v>28264.100000000002</v>
      </c>
      <c r="F60" s="104">
        <f t="shared" si="20"/>
        <v>8782.995317552017</v>
      </c>
      <c r="G60" s="129">
        <f t="shared" si="28"/>
        <v>8782.995317552017</v>
      </c>
      <c r="H60" s="119">
        <f t="shared" si="29"/>
        <v>0.006999122075139211</v>
      </c>
      <c r="I60" s="132">
        <f t="shared" si="30"/>
        <v>0.022523510384732773</v>
      </c>
      <c r="J60" s="104">
        <f t="shared" si="21"/>
        <v>28264.100000000002</v>
      </c>
      <c r="K60" s="104">
        <f t="shared" si="21"/>
        <v>50247.28888888889</v>
      </c>
      <c r="L60" s="129">
        <f t="shared" si="31"/>
        <v>50247.28888888889</v>
      </c>
      <c r="M60" s="119">
        <f t="shared" si="32"/>
        <v>0.04004179623952493</v>
      </c>
      <c r="N60" s="103" t="s">
        <v>107</v>
      </c>
      <c r="O60" s="104">
        <f t="shared" si="22"/>
        <v>80264.54</v>
      </c>
      <c r="P60" s="104">
        <f t="shared" si="22"/>
        <v>401322.69999999995</v>
      </c>
      <c r="Q60" s="104">
        <f t="shared" si="23"/>
        <v>401322.69999999995</v>
      </c>
      <c r="R60" s="121">
        <f t="shared" si="24"/>
        <v>0.3198119169221378</v>
      </c>
      <c r="S60" s="119">
        <f t="shared" si="25"/>
        <v>0.3598537131616627</v>
      </c>
    </row>
    <row r="61" spans="1:19" ht="12.75">
      <c r="A61" s="59">
        <v>2011</v>
      </c>
      <c r="B61" s="104">
        <f t="shared" si="26"/>
        <v>1254871</v>
      </c>
      <c r="C61" s="59" t="s">
        <v>189</v>
      </c>
      <c r="D61" s="132">
        <f t="shared" si="27"/>
        <v>0.022523510384732773</v>
      </c>
      <c r="E61" s="104">
        <f t="shared" si="20"/>
        <v>28264.100000000002</v>
      </c>
      <c r="F61" s="104">
        <f t="shared" si="20"/>
        <v>8810.180021515189</v>
      </c>
      <c r="G61" s="129">
        <f t="shared" si="28"/>
        <v>8810.180021515189</v>
      </c>
      <c r="H61" s="119">
        <f t="shared" si="29"/>
        <v>0.007020785420585214</v>
      </c>
      <c r="I61" s="132">
        <f t="shared" si="30"/>
        <v>0.022523510384732773</v>
      </c>
      <c r="J61" s="104">
        <f t="shared" si="21"/>
        <v>28264.100000000002</v>
      </c>
      <c r="K61" s="104">
        <f t="shared" si="21"/>
        <v>50247.28888888889</v>
      </c>
      <c r="L61" s="129">
        <f t="shared" si="31"/>
        <v>50247.28888888889</v>
      </c>
      <c r="M61" s="119">
        <f t="shared" si="32"/>
        <v>0.04004179623952493</v>
      </c>
      <c r="N61" s="103" t="s">
        <v>107</v>
      </c>
      <c r="O61" s="104">
        <f t="shared" si="22"/>
        <v>80264.54</v>
      </c>
      <c r="P61" s="104">
        <f t="shared" si="22"/>
        <v>401322.69999999995</v>
      </c>
      <c r="Q61" s="104">
        <f t="shared" si="23"/>
        <v>401322.69999999995</v>
      </c>
      <c r="R61" s="121">
        <f t="shared" si="24"/>
        <v>0.3198119169221378</v>
      </c>
      <c r="S61" s="119">
        <f t="shared" si="25"/>
        <v>0.3598537131616627</v>
      </c>
    </row>
    <row r="62" spans="1:19" ht="12.75">
      <c r="A62" s="59">
        <v>2012</v>
      </c>
      <c r="B62" s="104">
        <f t="shared" si="26"/>
        <v>1254871</v>
      </c>
      <c r="C62" s="59" t="s">
        <v>189</v>
      </c>
      <c r="D62" s="132">
        <f t="shared" si="27"/>
        <v>0.027028212461679326</v>
      </c>
      <c r="E62" s="104">
        <f t="shared" si="20"/>
        <v>33916.92</v>
      </c>
      <c r="F62" s="104">
        <f t="shared" si="20"/>
        <v>11445.847610285886</v>
      </c>
      <c r="G62" s="129">
        <f t="shared" si="28"/>
        <v>11445.847610285886</v>
      </c>
      <c r="H62" s="119">
        <f t="shared" si="29"/>
        <v>0.009121134849945442</v>
      </c>
      <c r="I62" s="132">
        <f t="shared" si="30"/>
        <v>0.027028212461679326</v>
      </c>
      <c r="J62" s="104">
        <f t="shared" si="21"/>
        <v>33916.92</v>
      </c>
      <c r="K62" s="104">
        <f t="shared" si="21"/>
        <v>60296.746666666666</v>
      </c>
      <c r="L62" s="129">
        <f t="shared" si="31"/>
        <v>60296.746666666666</v>
      </c>
      <c r="M62" s="119">
        <f t="shared" si="32"/>
        <v>0.04805015548742991</v>
      </c>
      <c r="N62" s="103" t="s">
        <v>107</v>
      </c>
      <c r="O62" s="104">
        <f t="shared" si="22"/>
        <v>80264.54</v>
      </c>
      <c r="P62" s="104">
        <f t="shared" si="22"/>
        <v>401322.69999999995</v>
      </c>
      <c r="Q62" s="104">
        <f t="shared" si="23"/>
        <v>401322.69999999995</v>
      </c>
      <c r="R62" s="121">
        <f t="shared" si="24"/>
        <v>0.3198119169221378</v>
      </c>
      <c r="S62" s="119">
        <f t="shared" si="25"/>
        <v>0.3678620724095677</v>
      </c>
    </row>
    <row r="63" spans="1:19" ht="12.75">
      <c r="A63" s="59">
        <v>2013</v>
      </c>
      <c r="B63" s="104">
        <f t="shared" si="26"/>
        <v>1254871</v>
      </c>
      <c r="C63" s="59" t="s">
        <v>189</v>
      </c>
      <c r="D63" s="132">
        <f t="shared" si="27"/>
        <v>0.027028212461679326</v>
      </c>
      <c r="E63" s="104">
        <f t="shared" si="20"/>
        <v>33916.92</v>
      </c>
      <c r="F63" s="104">
        <f t="shared" si="20"/>
        <v>11445.847610285886</v>
      </c>
      <c r="G63" s="129">
        <f t="shared" si="28"/>
        <v>11445.847610285886</v>
      </c>
      <c r="H63" s="119">
        <f t="shared" si="29"/>
        <v>0.009121134849945442</v>
      </c>
      <c r="I63" s="132">
        <f t="shared" si="30"/>
        <v>0.027028212461679326</v>
      </c>
      <c r="J63" s="104">
        <f t="shared" si="21"/>
        <v>33916.92</v>
      </c>
      <c r="K63" s="104">
        <f t="shared" si="21"/>
        <v>60296.746666666666</v>
      </c>
      <c r="L63" s="129">
        <f t="shared" si="31"/>
        <v>60296.746666666666</v>
      </c>
      <c r="M63" s="119">
        <f t="shared" si="32"/>
        <v>0.04805015548742991</v>
      </c>
      <c r="N63" s="103" t="s">
        <v>107</v>
      </c>
      <c r="O63" s="104">
        <f t="shared" si="22"/>
        <v>80264.54</v>
      </c>
      <c r="P63" s="104">
        <f t="shared" si="22"/>
        <v>401322.69999999995</v>
      </c>
      <c r="Q63" s="104">
        <f t="shared" si="23"/>
        <v>401322.69999999995</v>
      </c>
      <c r="R63" s="121">
        <f t="shared" si="24"/>
        <v>0.3198119169221378</v>
      </c>
      <c r="S63" s="119">
        <f t="shared" si="25"/>
        <v>0.3678620724095677</v>
      </c>
    </row>
    <row r="64" spans="1:19" ht="12.75">
      <c r="A64" s="59">
        <v>2014</v>
      </c>
      <c r="B64" s="104">
        <f t="shared" si="26"/>
        <v>1254871</v>
      </c>
      <c r="C64" s="59" t="s">
        <v>189</v>
      </c>
      <c r="D64" s="132">
        <f t="shared" si="27"/>
        <v>0.027028212461679326</v>
      </c>
      <c r="E64" s="104">
        <f t="shared" si="20"/>
        <v>33916.92</v>
      </c>
      <c r="F64" s="104">
        <f t="shared" si="20"/>
        <v>11445.847610285886</v>
      </c>
      <c r="G64" s="129">
        <f t="shared" si="28"/>
        <v>11445.847610285886</v>
      </c>
      <c r="H64" s="119">
        <f t="shared" si="29"/>
        <v>0.009121134849945442</v>
      </c>
      <c r="I64" s="132">
        <f t="shared" si="30"/>
        <v>0.027028212461679326</v>
      </c>
      <c r="J64" s="104">
        <f t="shared" si="21"/>
        <v>33916.92</v>
      </c>
      <c r="K64" s="104">
        <f t="shared" si="21"/>
        <v>60296.746666666666</v>
      </c>
      <c r="L64" s="129">
        <f t="shared" si="31"/>
        <v>60296.746666666666</v>
      </c>
      <c r="M64" s="119">
        <f t="shared" si="32"/>
        <v>0.04805015548742991</v>
      </c>
      <c r="N64" s="103" t="s">
        <v>107</v>
      </c>
      <c r="O64" s="104">
        <f t="shared" si="22"/>
        <v>80264.54</v>
      </c>
      <c r="P64" s="104">
        <f t="shared" si="22"/>
        <v>401322.69999999995</v>
      </c>
      <c r="Q64" s="104">
        <f t="shared" si="23"/>
        <v>401322.69999999995</v>
      </c>
      <c r="R64" s="121">
        <f t="shared" si="24"/>
        <v>0.3198119169221378</v>
      </c>
      <c r="S64" s="119">
        <f t="shared" si="25"/>
        <v>0.3678620724095677</v>
      </c>
    </row>
    <row r="65" spans="1:19" ht="12.75">
      <c r="A65" s="59">
        <v>2015</v>
      </c>
      <c r="B65" s="104">
        <f t="shared" si="26"/>
        <v>1254871</v>
      </c>
      <c r="C65" s="59" t="s">
        <v>189</v>
      </c>
      <c r="D65" s="132">
        <f t="shared" si="27"/>
        <v>0.036037616615572435</v>
      </c>
      <c r="E65" s="104">
        <f t="shared" si="20"/>
        <v>45222.56</v>
      </c>
      <c r="F65" s="104">
        <f t="shared" si="20"/>
        <v>15261.130147047847</v>
      </c>
      <c r="G65" s="129">
        <f t="shared" si="28"/>
        <v>15261.130147047847</v>
      </c>
      <c r="H65" s="119">
        <f t="shared" si="29"/>
        <v>0.012161513133260587</v>
      </c>
      <c r="I65" s="132">
        <f t="shared" si="30"/>
        <v>0.036037616615572435</v>
      </c>
      <c r="J65" s="104">
        <f t="shared" si="21"/>
        <v>45222.56</v>
      </c>
      <c r="K65" s="104">
        <f t="shared" si="21"/>
        <v>80395.66222222222</v>
      </c>
      <c r="L65" s="129">
        <f t="shared" si="31"/>
        <v>80395.66222222222</v>
      </c>
      <c r="M65" s="119">
        <f t="shared" si="32"/>
        <v>0.06406687398323989</v>
      </c>
      <c r="N65" s="103" t="s">
        <v>107</v>
      </c>
      <c r="O65" s="104">
        <f t="shared" si="22"/>
        <v>80264.54</v>
      </c>
      <c r="P65" s="104">
        <f t="shared" si="22"/>
        <v>401322.69999999995</v>
      </c>
      <c r="Q65" s="104">
        <f t="shared" si="23"/>
        <v>401322.69999999995</v>
      </c>
      <c r="R65" s="121">
        <f t="shared" si="24"/>
        <v>0.3198119169221378</v>
      </c>
      <c r="S65" s="119">
        <f t="shared" si="25"/>
        <v>0.3838787909053777</v>
      </c>
    </row>
    <row r="66" spans="1:19" ht="12.75">
      <c r="A66" s="59">
        <v>2016</v>
      </c>
      <c r="B66" s="104">
        <f t="shared" si="26"/>
        <v>1254871</v>
      </c>
      <c r="C66" s="59" t="s">
        <v>189</v>
      </c>
      <c r="D66" s="132">
        <f t="shared" si="27"/>
        <v>0.036037616615572435</v>
      </c>
      <c r="E66" s="104">
        <f t="shared" si="20"/>
        <v>45222.56</v>
      </c>
      <c r="F66" s="104">
        <f t="shared" si="20"/>
        <v>15261.130147047847</v>
      </c>
      <c r="G66" s="129">
        <f t="shared" si="28"/>
        <v>15261.130147047847</v>
      </c>
      <c r="H66" s="119">
        <f t="shared" si="29"/>
        <v>0.012161513133260587</v>
      </c>
      <c r="I66" s="132">
        <f t="shared" si="30"/>
        <v>0.036037616615572435</v>
      </c>
      <c r="J66" s="104">
        <f t="shared" si="21"/>
        <v>45222.56</v>
      </c>
      <c r="K66" s="104">
        <f t="shared" si="21"/>
        <v>80395.66222222222</v>
      </c>
      <c r="L66" s="129">
        <f t="shared" si="31"/>
        <v>80395.66222222222</v>
      </c>
      <c r="M66" s="119">
        <f t="shared" si="32"/>
        <v>0.06406687398323989</v>
      </c>
      <c r="N66" s="103" t="s">
        <v>107</v>
      </c>
      <c r="O66" s="104">
        <f t="shared" si="22"/>
        <v>80264.54</v>
      </c>
      <c r="P66" s="104">
        <f t="shared" si="22"/>
        <v>401322.69999999995</v>
      </c>
      <c r="Q66" s="104">
        <f t="shared" si="23"/>
        <v>401322.69999999995</v>
      </c>
      <c r="R66" s="121">
        <f t="shared" si="24"/>
        <v>0.3198119169221378</v>
      </c>
      <c r="S66" s="119">
        <f t="shared" si="25"/>
        <v>0.3838787909053777</v>
      </c>
    </row>
    <row r="67" spans="1:19" ht="12.75">
      <c r="A67" s="59">
        <v>2017</v>
      </c>
      <c r="B67" s="104">
        <f t="shared" si="26"/>
        <v>1254871</v>
      </c>
      <c r="C67" s="59" t="s">
        <v>189</v>
      </c>
      <c r="D67" s="132">
        <f t="shared" si="27"/>
        <v>0.036037616615572435</v>
      </c>
      <c r="E67" s="104">
        <f t="shared" si="20"/>
        <v>45222.56</v>
      </c>
      <c r="F67" s="104">
        <f t="shared" si="20"/>
        <v>15261.130147047847</v>
      </c>
      <c r="G67" s="129">
        <f t="shared" si="28"/>
        <v>15261.130147047847</v>
      </c>
      <c r="H67" s="119">
        <f t="shared" si="29"/>
        <v>0.012161513133260587</v>
      </c>
      <c r="I67" s="132">
        <f t="shared" si="30"/>
        <v>0.036037616615572435</v>
      </c>
      <c r="J67" s="104">
        <f t="shared" si="21"/>
        <v>45222.56</v>
      </c>
      <c r="K67" s="104">
        <f t="shared" si="21"/>
        <v>80395.66222222222</v>
      </c>
      <c r="L67" s="129">
        <f t="shared" si="31"/>
        <v>80395.66222222222</v>
      </c>
      <c r="M67" s="119">
        <f t="shared" si="32"/>
        <v>0.06406687398323989</v>
      </c>
      <c r="N67" s="103" t="s">
        <v>107</v>
      </c>
      <c r="O67" s="104">
        <f t="shared" si="22"/>
        <v>80264.54</v>
      </c>
      <c r="P67" s="104">
        <f t="shared" si="22"/>
        <v>401322.69999999995</v>
      </c>
      <c r="Q67" s="104">
        <f t="shared" si="23"/>
        <v>401322.69999999995</v>
      </c>
      <c r="R67" s="121">
        <f t="shared" si="24"/>
        <v>0.3198119169221378</v>
      </c>
      <c r="S67" s="119">
        <f t="shared" si="25"/>
        <v>0.3838787909053777</v>
      </c>
    </row>
    <row r="68" spans="1:19" ht="12.75">
      <c r="A68" s="59">
        <v>2018</v>
      </c>
      <c r="B68" s="104">
        <f t="shared" si="26"/>
        <v>1254871</v>
      </c>
      <c r="C68" s="59" t="s">
        <v>189</v>
      </c>
      <c r="D68" s="132">
        <f t="shared" si="27"/>
        <v>0.04504702076946555</v>
      </c>
      <c r="E68" s="104">
        <f t="shared" si="20"/>
        <v>56528.200000000004</v>
      </c>
      <c r="F68" s="104">
        <f t="shared" si="20"/>
        <v>19076.412683809805</v>
      </c>
      <c r="G68" s="129">
        <f t="shared" si="28"/>
        <v>19076.412683809805</v>
      </c>
      <c r="H68" s="119">
        <f t="shared" si="29"/>
        <v>0.015201891416575731</v>
      </c>
      <c r="I68" s="132">
        <f t="shared" si="30"/>
        <v>0.04504702076946555</v>
      </c>
      <c r="J68" s="104">
        <f t="shared" si="21"/>
        <v>56528.200000000004</v>
      </c>
      <c r="K68" s="104">
        <f t="shared" si="21"/>
        <v>100494.57777777778</v>
      </c>
      <c r="L68" s="129">
        <f t="shared" si="31"/>
        <v>100494.57777777778</v>
      </c>
      <c r="M68" s="119">
        <f t="shared" si="32"/>
        <v>0.08008359247904986</v>
      </c>
      <c r="N68" s="103" t="s">
        <v>107</v>
      </c>
      <c r="O68" s="104">
        <f t="shared" si="22"/>
        <v>80264.54</v>
      </c>
      <c r="P68" s="104">
        <f t="shared" si="22"/>
        <v>401322.69999999995</v>
      </c>
      <c r="Q68" s="104">
        <f t="shared" si="23"/>
        <v>401322.69999999995</v>
      </c>
      <c r="R68" s="121">
        <f t="shared" si="24"/>
        <v>0.3198119169221378</v>
      </c>
      <c r="S68" s="119">
        <f t="shared" si="25"/>
        <v>0.3998955094011877</v>
      </c>
    </row>
    <row r="69" spans="1:19" ht="12.75">
      <c r="A69" s="59">
        <v>2019</v>
      </c>
      <c r="B69" s="104">
        <f t="shared" si="26"/>
        <v>1254871</v>
      </c>
      <c r="C69" s="59" t="s">
        <v>189</v>
      </c>
      <c r="D69" s="132">
        <f t="shared" si="27"/>
        <v>0.04504702076946555</v>
      </c>
      <c r="E69" s="104">
        <f t="shared" si="20"/>
        <v>56528.200000000004</v>
      </c>
      <c r="F69" s="104">
        <f t="shared" si="20"/>
        <v>19076.412683809805</v>
      </c>
      <c r="G69" s="129">
        <f t="shared" si="28"/>
        <v>19076.412683809805</v>
      </c>
      <c r="H69" s="119">
        <f t="shared" si="29"/>
        <v>0.015201891416575731</v>
      </c>
      <c r="I69" s="132">
        <f t="shared" si="30"/>
        <v>0.04504702076946555</v>
      </c>
      <c r="J69" s="104">
        <f t="shared" si="21"/>
        <v>56528.200000000004</v>
      </c>
      <c r="K69" s="104">
        <f t="shared" si="21"/>
        <v>100494.57777777778</v>
      </c>
      <c r="L69" s="129">
        <f t="shared" si="31"/>
        <v>100494.57777777778</v>
      </c>
      <c r="M69" s="119">
        <f t="shared" si="32"/>
        <v>0.08008359247904986</v>
      </c>
      <c r="N69" s="103" t="s">
        <v>107</v>
      </c>
      <c r="O69" s="104">
        <f t="shared" si="22"/>
        <v>80264.54</v>
      </c>
      <c r="P69" s="104">
        <f t="shared" si="22"/>
        <v>401322.69999999995</v>
      </c>
      <c r="Q69" s="104">
        <f t="shared" si="23"/>
        <v>401322.69999999995</v>
      </c>
      <c r="R69" s="121">
        <f t="shared" si="24"/>
        <v>0.3198119169221378</v>
      </c>
      <c r="S69" s="119">
        <f t="shared" si="25"/>
        <v>0.3998955094011877</v>
      </c>
    </row>
    <row r="70" spans="1:19" ht="12.75">
      <c r="A70" s="59">
        <v>2020</v>
      </c>
      <c r="B70" s="104">
        <f t="shared" si="26"/>
        <v>1254871</v>
      </c>
      <c r="C70" s="59" t="s">
        <v>189</v>
      </c>
      <c r="D70" s="132">
        <f t="shared" si="27"/>
        <v>0.04504702076946555</v>
      </c>
      <c r="E70" s="104">
        <f t="shared" si="20"/>
        <v>56528.200000000004</v>
      </c>
      <c r="F70" s="104">
        <f t="shared" si="20"/>
        <v>19076.412683809805</v>
      </c>
      <c r="G70" s="129">
        <f t="shared" si="28"/>
        <v>19076.412683809805</v>
      </c>
      <c r="H70" s="119">
        <f t="shared" si="29"/>
        <v>0.015201891416575731</v>
      </c>
      <c r="I70" s="132">
        <f t="shared" si="30"/>
        <v>0.04504702076946555</v>
      </c>
      <c r="J70" s="104">
        <f t="shared" si="21"/>
        <v>56528.200000000004</v>
      </c>
      <c r="K70" s="104">
        <f t="shared" si="21"/>
        <v>100494.57777777778</v>
      </c>
      <c r="L70" s="129">
        <f t="shared" si="31"/>
        <v>100494.57777777778</v>
      </c>
      <c r="M70" s="119">
        <f t="shared" si="32"/>
        <v>0.08008359247904986</v>
      </c>
      <c r="N70" s="103" t="s">
        <v>107</v>
      </c>
      <c r="O70" s="104">
        <f t="shared" si="22"/>
        <v>80264.54</v>
      </c>
      <c r="P70" s="104">
        <f t="shared" si="22"/>
        <v>401322.69999999995</v>
      </c>
      <c r="Q70" s="104">
        <f t="shared" si="23"/>
        <v>401322.69999999995</v>
      </c>
      <c r="R70" s="121">
        <f t="shared" si="24"/>
        <v>0.3198119169221378</v>
      </c>
      <c r="S70" s="119">
        <f t="shared" si="25"/>
        <v>0.3998955094011877</v>
      </c>
    </row>
  </sheetData>
  <mergeCells count="64">
    <mergeCell ref="Q51:Q52"/>
    <mergeCell ref="G51:G52"/>
    <mergeCell ref="L51:L52"/>
    <mergeCell ref="R51:R52"/>
    <mergeCell ref="M51:M52"/>
    <mergeCell ref="I51:I52"/>
    <mergeCell ref="J51:J52"/>
    <mergeCell ref="K51:K52"/>
    <mergeCell ref="P28:P29"/>
    <mergeCell ref="N27:R27"/>
    <mergeCell ref="D27:G27"/>
    <mergeCell ref="Q3:Q4"/>
    <mergeCell ref="O3:O4"/>
    <mergeCell ref="N3:N4"/>
    <mergeCell ref="N28:N29"/>
    <mergeCell ref="O28:O29"/>
    <mergeCell ref="E3:E4"/>
    <mergeCell ref="F3:F4"/>
    <mergeCell ref="D28:D29"/>
    <mergeCell ref="E28:E29"/>
    <mergeCell ref="A2:A4"/>
    <mergeCell ref="B2:B4"/>
    <mergeCell ref="A27:A29"/>
    <mergeCell ref="B27:B29"/>
    <mergeCell ref="C2:C4"/>
    <mergeCell ref="D2:H2"/>
    <mergeCell ref="H3:H4"/>
    <mergeCell ref="D3:D4"/>
    <mergeCell ref="K28:K29"/>
    <mergeCell ref="G28:G29"/>
    <mergeCell ref="A50:A52"/>
    <mergeCell ref="B50:B52"/>
    <mergeCell ref="D51:D52"/>
    <mergeCell ref="E51:E52"/>
    <mergeCell ref="D50:H50"/>
    <mergeCell ref="C50:C52"/>
    <mergeCell ref="F51:F52"/>
    <mergeCell ref="H51:H52"/>
    <mergeCell ref="I2:M2"/>
    <mergeCell ref="N2:R2"/>
    <mergeCell ref="M3:M4"/>
    <mergeCell ref="I3:I4"/>
    <mergeCell ref="J3:J4"/>
    <mergeCell ref="K3:K4"/>
    <mergeCell ref="C27:C29"/>
    <mergeCell ref="H28:H29"/>
    <mergeCell ref="P51:P52"/>
    <mergeCell ref="O51:O52"/>
    <mergeCell ref="N51:N52"/>
    <mergeCell ref="N50:R50"/>
    <mergeCell ref="I50:M50"/>
    <mergeCell ref="L28:L29"/>
    <mergeCell ref="F28:F29"/>
    <mergeCell ref="I28:I29"/>
    <mergeCell ref="S50:S52"/>
    <mergeCell ref="G3:G4"/>
    <mergeCell ref="L3:L4"/>
    <mergeCell ref="Q28:Q29"/>
    <mergeCell ref="I27:M27"/>
    <mergeCell ref="R28:R29"/>
    <mergeCell ref="M28:M29"/>
    <mergeCell ref="R3:R4"/>
    <mergeCell ref="P3:P4"/>
    <mergeCell ref="J28:J29"/>
  </mergeCells>
  <printOptions/>
  <pageMargins left="0.23" right="0.18" top="0.34" bottom="0.19" header="0.17" footer="0.21"/>
  <pageSetup fitToHeight="1" fitToWidth="1" orientation="landscape" scale="65" r:id="rId1"/>
  <headerFooter alignWithMargins="0">
    <oddHeader>&amp;C&amp;"Arial,Bold"&amp;20PC/LDT 1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52">
    <pageSetUpPr fitToPage="1"/>
  </sheetPr>
  <dimension ref="A1:AD70"/>
  <sheetViews>
    <sheetView view="pageBreakPreview" zoomScale="60" zoomScaleNormal="66" workbookViewId="0" topLeftCell="A26">
      <selection activeCell="G57" sqref="G57"/>
    </sheetView>
  </sheetViews>
  <sheetFormatPr defaultColWidth="9.140625" defaultRowHeight="12.75"/>
  <cols>
    <col min="1" max="1" width="10.57421875" style="0" customWidth="1"/>
    <col min="2" max="2" width="11.140625" style="0" customWidth="1"/>
    <col min="7" max="7" width="12.421875" style="0" customWidth="1"/>
    <col min="8" max="8" width="9.8515625" style="0" customWidth="1"/>
    <col min="9" max="9" width="11.7109375" style="0" customWidth="1"/>
    <col min="12" max="12" width="11.28125" style="0" customWidth="1"/>
    <col min="13" max="13" width="10.28125" style="0" customWidth="1"/>
    <col min="14" max="15" width="9.140625" style="116" customWidth="1"/>
    <col min="16" max="16" width="10.28125" style="116" customWidth="1"/>
    <col min="17" max="17" width="11.00390625" style="116" customWidth="1"/>
    <col min="18" max="18" width="11.28125" style="0" customWidth="1"/>
    <col min="19" max="19" width="12.57421875" style="0" customWidth="1"/>
  </cols>
  <sheetData>
    <row r="1" ht="12.75">
      <c r="A1" s="48" t="s">
        <v>174</v>
      </c>
    </row>
    <row r="2" spans="1:19" ht="12.75">
      <c r="A2" s="150" t="s">
        <v>43</v>
      </c>
      <c r="B2" s="150" t="s">
        <v>171</v>
      </c>
      <c r="C2" s="144" t="s">
        <v>191</v>
      </c>
      <c r="D2" s="166" t="s">
        <v>47</v>
      </c>
      <c r="E2" s="167"/>
      <c r="F2" s="167"/>
      <c r="G2" s="167"/>
      <c r="H2" s="167"/>
      <c r="I2" s="168"/>
      <c r="J2" s="166" t="s">
        <v>100</v>
      </c>
      <c r="K2" s="167"/>
      <c r="L2" s="167"/>
      <c r="M2" s="167"/>
      <c r="N2" s="168"/>
      <c r="O2" s="166" t="s">
        <v>91</v>
      </c>
      <c r="P2" s="167"/>
      <c r="Q2" s="167"/>
      <c r="R2" s="167"/>
      <c r="S2" s="168"/>
    </row>
    <row r="3" spans="1:19" ht="12.75" customHeight="1">
      <c r="A3" s="150"/>
      <c r="B3" s="150"/>
      <c r="C3" s="172"/>
      <c r="D3" s="143" t="s">
        <v>172</v>
      </c>
      <c r="E3" s="143" t="s">
        <v>94</v>
      </c>
      <c r="F3" s="143" t="s">
        <v>173</v>
      </c>
      <c r="G3" s="144" t="s">
        <v>192</v>
      </c>
      <c r="H3" s="163" t="s">
        <v>193</v>
      </c>
      <c r="I3" s="147" t="s">
        <v>197</v>
      </c>
      <c r="J3" s="145" t="s">
        <v>172</v>
      </c>
      <c r="K3" s="145" t="s">
        <v>94</v>
      </c>
      <c r="L3" s="145" t="s">
        <v>173</v>
      </c>
      <c r="M3" s="177" t="s">
        <v>193</v>
      </c>
      <c r="N3" s="181" t="s">
        <v>197</v>
      </c>
      <c r="O3" s="172" t="s">
        <v>172</v>
      </c>
      <c r="P3" s="172" t="s">
        <v>94</v>
      </c>
      <c r="Q3" s="172" t="s">
        <v>173</v>
      </c>
      <c r="R3" s="163" t="s">
        <v>193</v>
      </c>
      <c r="S3" s="147" t="s">
        <v>197</v>
      </c>
    </row>
    <row r="4" spans="1:19" ht="12.75">
      <c r="A4" s="150"/>
      <c r="B4" s="150"/>
      <c r="C4" s="145"/>
      <c r="D4" s="143"/>
      <c r="E4" s="143"/>
      <c r="F4" s="143"/>
      <c r="G4" s="145"/>
      <c r="H4" s="173"/>
      <c r="I4" s="148"/>
      <c r="J4" s="143"/>
      <c r="K4" s="143"/>
      <c r="L4" s="143"/>
      <c r="M4" s="173"/>
      <c r="N4" s="148"/>
      <c r="O4" s="145"/>
      <c r="P4" s="145"/>
      <c r="Q4" s="145"/>
      <c r="R4" s="173"/>
      <c r="S4" s="148"/>
    </row>
    <row r="5" spans="1:30" ht="12.75">
      <c r="A5" s="59">
        <v>2003</v>
      </c>
      <c r="B5" s="59">
        <v>0</v>
      </c>
      <c r="C5" s="114">
        <v>0</v>
      </c>
      <c r="D5" s="109">
        <v>0.02</v>
      </c>
      <c r="E5" s="104">
        <f aca="true" t="shared" si="0" ref="E5:E22">+B5*D5</f>
        <v>0</v>
      </c>
      <c r="F5" s="104">
        <f aca="true" t="shared" si="1" ref="F5:F22">B5*H5</f>
        <v>0</v>
      </c>
      <c r="G5" s="104">
        <f>F5+'Fleet totals PC-LDT1'!F5</f>
        <v>4420.237470824074</v>
      </c>
      <c r="H5" s="119">
        <f>'2003'!N31</f>
        <v>0.004818234917562911</v>
      </c>
      <c r="I5" s="128">
        <f>H5*B5</f>
        <v>0</v>
      </c>
      <c r="J5" s="109">
        <v>0.02</v>
      </c>
      <c r="K5" s="104">
        <f aca="true" t="shared" si="2" ref="K5:K22">+B5*J5</f>
        <v>0</v>
      </c>
      <c r="L5" s="104">
        <f>(+K5/0.45)/4</f>
        <v>0</v>
      </c>
      <c r="M5" s="119">
        <f>(J5/0.45)/4</f>
        <v>0.011111111111111112</v>
      </c>
      <c r="N5" s="129">
        <f>M5*B5</f>
        <v>0</v>
      </c>
      <c r="O5" s="108">
        <v>0.06</v>
      </c>
      <c r="P5" s="104">
        <f aca="true" t="shared" si="3" ref="P5:P22">+B5*O5</f>
        <v>0</v>
      </c>
      <c r="Q5" s="104">
        <f>(+P5/0.2)/4</f>
        <v>0</v>
      </c>
      <c r="R5" s="110">
        <f>(O5/0.2/4)</f>
        <v>0.075</v>
      </c>
      <c r="S5" s="129">
        <f>R5*B5</f>
        <v>0</v>
      </c>
      <c r="AD5" s="33"/>
    </row>
    <row r="6" spans="1:19" ht="12.75">
      <c r="A6" s="59">
        <v>2004</v>
      </c>
      <c r="B6" s="59">
        <v>0</v>
      </c>
      <c r="C6" s="114">
        <v>0</v>
      </c>
      <c r="D6" s="109">
        <v>0.02</v>
      </c>
      <c r="E6" s="104">
        <f t="shared" si="0"/>
        <v>0</v>
      </c>
      <c r="F6" s="104">
        <f t="shared" si="1"/>
        <v>0</v>
      </c>
      <c r="G6" s="104">
        <f>F6+'Fleet totals PC-LDT1'!F6</f>
        <v>4420.237470824074</v>
      </c>
      <c r="H6" s="119">
        <f>'2004'!K31</f>
        <v>0.004818234917562911</v>
      </c>
      <c r="I6" s="128">
        <f aca="true" t="shared" si="4" ref="I6:I22">H6*B6</f>
        <v>0</v>
      </c>
      <c r="J6" s="109">
        <v>0.02</v>
      </c>
      <c r="K6" s="104">
        <f t="shared" si="2"/>
        <v>0</v>
      </c>
      <c r="L6" s="104">
        <f>(+K6/0.45)/2</f>
        <v>0</v>
      </c>
      <c r="M6" s="119">
        <f>(J6/0.45)/2</f>
        <v>0.022222222222222223</v>
      </c>
      <c r="N6" s="129">
        <f aca="true" t="shared" si="5" ref="N6:N22">M6*B6</f>
        <v>0</v>
      </c>
      <c r="O6" s="108">
        <v>0.06</v>
      </c>
      <c r="P6" s="104">
        <f t="shared" si="3"/>
        <v>0</v>
      </c>
      <c r="Q6" s="104">
        <f>(+P6/0.2)/2</f>
        <v>0</v>
      </c>
      <c r="R6" s="110">
        <f>(O6/0.2)/2</f>
        <v>0.15</v>
      </c>
      <c r="S6" s="129">
        <f aca="true" t="shared" si="6" ref="S6:S22">R6*B6</f>
        <v>0</v>
      </c>
    </row>
    <row r="7" spans="1:19" ht="12.75">
      <c r="A7" s="59">
        <v>2005</v>
      </c>
      <c r="B7" s="59">
        <v>0</v>
      </c>
      <c r="C7" s="114">
        <v>0</v>
      </c>
      <c r="D7" s="109">
        <v>0.02</v>
      </c>
      <c r="E7" s="104">
        <f t="shared" si="0"/>
        <v>0</v>
      </c>
      <c r="F7" s="104">
        <f t="shared" si="1"/>
        <v>0</v>
      </c>
      <c r="G7" s="104">
        <f>F7+'Fleet totals PC-LDT1'!F7</f>
        <v>4418.008385022636</v>
      </c>
      <c r="H7" s="119">
        <f>'2005'!K31</f>
        <v>0.004815805125246634</v>
      </c>
      <c r="I7" s="128">
        <f t="shared" si="4"/>
        <v>0</v>
      </c>
      <c r="J7" s="109">
        <v>0.02</v>
      </c>
      <c r="K7" s="104">
        <f t="shared" si="2"/>
        <v>0</v>
      </c>
      <c r="L7" s="104">
        <f>(+K7/(0.45*1.25))/1.33</f>
        <v>0</v>
      </c>
      <c r="M7" s="119">
        <f>(J7/0.45)/1.33</f>
        <v>0.03341687552213868</v>
      </c>
      <c r="N7" s="129">
        <f t="shared" si="5"/>
        <v>0</v>
      </c>
      <c r="O7" s="108">
        <v>0.06</v>
      </c>
      <c r="P7" s="104">
        <f t="shared" si="3"/>
        <v>0</v>
      </c>
      <c r="Q7" s="104">
        <f>(+P7/0.2)/1.33</f>
        <v>0</v>
      </c>
      <c r="R7" s="110">
        <f aca="true" t="shared" si="7" ref="R7:R22">O7/0.2</f>
        <v>0.3</v>
      </c>
      <c r="S7" s="129">
        <f t="shared" si="6"/>
        <v>0</v>
      </c>
    </row>
    <row r="8" spans="1:19" ht="12.75">
      <c r="A8" s="59">
        <v>2006</v>
      </c>
      <c r="B8" s="104">
        <f>Sales!F65</f>
        <v>0</v>
      </c>
      <c r="C8" s="114">
        <v>0</v>
      </c>
      <c r="D8" s="109">
        <v>0.02</v>
      </c>
      <c r="E8" s="104">
        <f t="shared" si="0"/>
        <v>0</v>
      </c>
      <c r="F8" s="104">
        <f t="shared" si="1"/>
        <v>0</v>
      </c>
      <c r="G8" s="104">
        <f>F8+'Fleet totals PC-LDT1'!F8</f>
        <v>6570.033682114932</v>
      </c>
      <c r="H8" s="119">
        <f>'2006'!K31</f>
        <v>0.005811288597651201</v>
      </c>
      <c r="I8" s="128">
        <f t="shared" si="4"/>
        <v>0</v>
      </c>
      <c r="J8" s="109">
        <v>0.02</v>
      </c>
      <c r="K8" s="104">
        <f t="shared" si="2"/>
        <v>0</v>
      </c>
      <c r="L8" s="104">
        <f aca="true" t="shared" si="8" ref="L8:L22">(+K8/(0.45*1.25))</f>
        <v>0</v>
      </c>
      <c r="M8" s="119">
        <f aca="true" t="shared" si="9" ref="M8:M22">(+J8/(0.45*1.25))</f>
        <v>0.035555555555555556</v>
      </c>
      <c r="N8" s="129">
        <f t="shared" si="5"/>
        <v>0</v>
      </c>
      <c r="O8" s="108">
        <v>0.06</v>
      </c>
      <c r="P8" s="104">
        <f t="shared" si="3"/>
        <v>0</v>
      </c>
      <c r="Q8" s="104">
        <f aca="true" t="shared" si="10" ref="Q8:Q22">(+P8/0.2)</f>
        <v>0</v>
      </c>
      <c r="R8" s="110">
        <f t="shared" si="7"/>
        <v>0.3</v>
      </c>
      <c r="S8" s="129">
        <f t="shared" si="6"/>
        <v>0</v>
      </c>
    </row>
    <row r="9" spans="1:19" ht="12.75">
      <c r="A9" s="59">
        <v>2007</v>
      </c>
      <c r="B9" s="104">
        <f>Sales!J65</f>
        <v>127961.72000000002</v>
      </c>
      <c r="C9" s="114">
        <f>B9/($B$14+$B$39)</f>
        <v>0.14275769894997078</v>
      </c>
      <c r="D9" s="109">
        <v>0.02</v>
      </c>
      <c r="E9" s="104">
        <f t="shared" si="0"/>
        <v>2559.2344000000003</v>
      </c>
      <c r="F9" s="104">
        <f>B9*H9</f>
        <v>748.3450782952438</v>
      </c>
      <c r="G9" s="104">
        <f>F9+'Fleet totals PC-LDT1'!F9</f>
        <v>7360.103697183642</v>
      </c>
      <c r="H9" s="119">
        <f>'2007'!K31</f>
        <v>0.0058481948999688635</v>
      </c>
      <c r="I9" s="128">
        <f>H9*B9</f>
        <v>748.3450782952438</v>
      </c>
      <c r="J9" s="109">
        <v>0.02</v>
      </c>
      <c r="K9" s="104">
        <f t="shared" si="2"/>
        <v>2559.2344000000003</v>
      </c>
      <c r="L9" s="104">
        <f t="shared" si="8"/>
        <v>4549.750044444445</v>
      </c>
      <c r="M9" s="119">
        <f t="shared" si="9"/>
        <v>0.035555555555555556</v>
      </c>
      <c r="N9" s="129">
        <f>M9*B9</f>
        <v>4549.750044444445</v>
      </c>
      <c r="O9" s="108">
        <v>0.06</v>
      </c>
      <c r="P9" s="104">
        <f t="shared" si="3"/>
        <v>7677.703200000001</v>
      </c>
      <c r="Q9" s="104">
        <f t="shared" si="10"/>
        <v>38388.516</v>
      </c>
      <c r="R9" s="110">
        <f t="shared" si="7"/>
        <v>0.3</v>
      </c>
      <c r="S9" s="129">
        <f t="shared" si="6"/>
        <v>38388.516</v>
      </c>
    </row>
    <row r="10" spans="1:19" ht="12.75">
      <c r="A10" s="59">
        <v>2008</v>
      </c>
      <c r="B10" s="104">
        <f>Sales!K65</f>
        <v>255923.44000000003</v>
      </c>
      <c r="C10" s="114">
        <f aca="true" t="shared" si="11" ref="C10:C22">B10/($B$14+$B$39)</f>
        <v>0.28551539789994157</v>
      </c>
      <c r="D10" s="109">
        <v>0.02</v>
      </c>
      <c r="E10" s="104">
        <f t="shared" si="0"/>
        <v>5118.468800000001</v>
      </c>
      <c r="F10" s="104">
        <f t="shared" si="1"/>
        <v>1489.0004422309223</v>
      </c>
      <c r="G10" s="104">
        <f>F10+'Fleet totals PC-LDT1'!F10</f>
        <v>8066.789080779858</v>
      </c>
      <c r="H10" s="119">
        <f>'2008'!K31</f>
        <v>0.0058181479673410225</v>
      </c>
      <c r="I10" s="128">
        <f t="shared" si="4"/>
        <v>1489.0004422309223</v>
      </c>
      <c r="J10" s="109">
        <v>0.02</v>
      </c>
      <c r="K10" s="104">
        <f t="shared" si="2"/>
        <v>5118.468800000001</v>
      </c>
      <c r="L10" s="104">
        <f t="shared" si="8"/>
        <v>9099.50008888889</v>
      </c>
      <c r="M10" s="119">
        <f t="shared" si="9"/>
        <v>0.035555555555555556</v>
      </c>
      <c r="N10" s="129">
        <f t="shared" si="5"/>
        <v>9099.50008888889</v>
      </c>
      <c r="O10" s="108">
        <v>0.06</v>
      </c>
      <c r="P10" s="104">
        <f t="shared" si="3"/>
        <v>15355.406400000002</v>
      </c>
      <c r="Q10" s="104">
        <f t="shared" si="10"/>
        <v>76777.032</v>
      </c>
      <c r="R10" s="110">
        <f t="shared" si="7"/>
        <v>0.3</v>
      </c>
      <c r="S10" s="129">
        <f t="shared" si="6"/>
        <v>76777.032</v>
      </c>
    </row>
    <row r="11" spans="1:19" ht="12.75">
      <c r="A11" s="59">
        <v>2009</v>
      </c>
      <c r="B11" s="104">
        <f>Sales!M65</f>
        <v>383885.16000000003</v>
      </c>
      <c r="C11" s="114">
        <f t="shared" si="11"/>
        <v>0.4282730968499123</v>
      </c>
      <c r="D11" s="108">
        <v>0.025</v>
      </c>
      <c r="E11" s="104">
        <f t="shared" si="0"/>
        <v>9597.129</v>
      </c>
      <c r="F11" s="104">
        <f t="shared" si="1"/>
        <v>2917.007207613422</v>
      </c>
      <c r="G11" s="104">
        <f>F11+'Fleet totals PC-LDT1'!F11</f>
        <v>11507.762152837822</v>
      </c>
      <c r="H11" s="119">
        <f>'2009'!K31</f>
        <v>0.007598645406385132</v>
      </c>
      <c r="I11" s="128">
        <f t="shared" si="4"/>
        <v>2917.007207613422</v>
      </c>
      <c r="J11" s="108">
        <v>0.025</v>
      </c>
      <c r="K11" s="104">
        <f t="shared" si="2"/>
        <v>9597.129</v>
      </c>
      <c r="L11" s="104">
        <f t="shared" si="8"/>
        <v>17061.56266666667</v>
      </c>
      <c r="M11" s="119">
        <f t="shared" si="9"/>
        <v>0.044444444444444446</v>
      </c>
      <c r="N11" s="129">
        <f t="shared" si="5"/>
        <v>17061.56266666667</v>
      </c>
      <c r="O11" s="108">
        <v>0.06</v>
      </c>
      <c r="P11" s="104">
        <f t="shared" si="3"/>
        <v>23033.1096</v>
      </c>
      <c r="Q11" s="104">
        <f t="shared" si="10"/>
        <v>115165.548</v>
      </c>
      <c r="R11" s="110">
        <f t="shared" si="7"/>
        <v>0.3</v>
      </c>
      <c r="S11" s="129">
        <f t="shared" si="6"/>
        <v>115165.54800000001</v>
      </c>
    </row>
    <row r="12" spans="1:19" ht="12.75">
      <c r="A12" s="59">
        <v>2010</v>
      </c>
      <c r="B12" s="104">
        <f>Sales!N65</f>
        <v>511846.88000000006</v>
      </c>
      <c r="C12" s="114">
        <f t="shared" si="11"/>
        <v>0.5710307957998831</v>
      </c>
      <c r="D12" s="108">
        <v>0.025</v>
      </c>
      <c r="E12" s="104">
        <f t="shared" si="0"/>
        <v>12796.172000000002</v>
      </c>
      <c r="F12" s="104">
        <f t="shared" si="1"/>
        <v>3976.377056357366</v>
      </c>
      <c r="G12" s="104">
        <f>F12+'Fleet totals PC-LDT1'!F12</f>
        <v>12759.372373909384</v>
      </c>
      <c r="H12" s="119">
        <f>'2010'!K31</f>
        <v>0.007768684760484162</v>
      </c>
      <c r="I12" s="128">
        <f t="shared" si="4"/>
        <v>3976.377056357366</v>
      </c>
      <c r="J12" s="108">
        <v>0.025</v>
      </c>
      <c r="K12" s="104">
        <f t="shared" si="2"/>
        <v>12796.172000000002</v>
      </c>
      <c r="L12" s="104">
        <f t="shared" si="8"/>
        <v>22748.750222222225</v>
      </c>
      <c r="M12" s="119">
        <f t="shared" si="9"/>
        <v>0.044444444444444446</v>
      </c>
      <c r="N12" s="129">
        <f t="shared" si="5"/>
        <v>22748.750222222225</v>
      </c>
      <c r="O12" s="108">
        <v>0.06</v>
      </c>
      <c r="P12" s="104">
        <f t="shared" si="3"/>
        <v>30710.812800000003</v>
      </c>
      <c r="Q12" s="104">
        <f t="shared" si="10"/>
        <v>153554.064</v>
      </c>
      <c r="R12" s="110">
        <f t="shared" si="7"/>
        <v>0.3</v>
      </c>
      <c r="S12" s="129">
        <f t="shared" si="6"/>
        <v>153554.064</v>
      </c>
    </row>
    <row r="13" spans="1:19" ht="12.75">
      <c r="A13" s="59">
        <v>2011</v>
      </c>
      <c r="B13" s="104">
        <f>Sales!O65</f>
        <v>639808.6</v>
      </c>
      <c r="C13" s="114">
        <f>B13/($B$14+$B$39)</f>
        <v>0.7137884947498538</v>
      </c>
      <c r="D13" s="108">
        <v>0.025</v>
      </c>
      <c r="E13" s="104">
        <f t="shared" si="0"/>
        <v>15995.215</v>
      </c>
      <c r="F13" s="104">
        <f t="shared" si="1"/>
        <v>4985.8556838123295</v>
      </c>
      <c r="G13" s="104">
        <f>F13+'Fleet totals PC-LDT1'!F13</f>
        <v>13796.035705327518</v>
      </c>
      <c r="H13" s="119">
        <f>'2011'!K31</f>
        <v>0.007792730019278156</v>
      </c>
      <c r="I13" s="128">
        <f t="shared" si="4"/>
        <v>4985.8556838123295</v>
      </c>
      <c r="J13" s="108">
        <v>0.025</v>
      </c>
      <c r="K13" s="104">
        <f t="shared" si="2"/>
        <v>15995.215</v>
      </c>
      <c r="L13" s="104">
        <f t="shared" si="8"/>
        <v>28435.937777777777</v>
      </c>
      <c r="M13" s="119">
        <f t="shared" si="9"/>
        <v>0.044444444444444446</v>
      </c>
      <c r="N13" s="129">
        <f t="shared" si="5"/>
        <v>28435.937777777777</v>
      </c>
      <c r="O13" s="108">
        <v>0.06</v>
      </c>
      <c r="P13" s="104">
        <f t="shared" si="3"/>
        <v>38388.515999999996</v>
      </c>
      <c r="Q13" s="104">
        <f t="shared" si="10"/>
        <v>191942.57999999996</v>
      </c>
      <c r="R13" s="110">
        <f t="shared" si="7"/>
        <v>0.3</v>
      </c>
      <c r="S13" s="129">
        <f t="shared" si="6"/>
        <v>191942.58</v>
      </c>
    </row>
    <row r="14" spans="1:19" ht="12.75">
      <c r="A14" s="59">
        <v>2012</v>
      </c>
      <c r="B14" s="104">
        <f>Sales!Q65</f>
        <v>752716</v>
      </c>
      <c r="C14" s="114">
        <f t="shared" si="11"/>
        <v>0.8397511702939457</v>
      </c>
      <c r="D14" s="109">
        <v>0.03</v>
      </c>
      <c r="E14" s="104">
        <f t="shared" si="0"/>
        <v>22581.48</v>
      </c>
      <c r="F14" s="104">
        <f t="shared" si="1"/>
        <v>7620.50855132832</v>
      </c>
      <c r="G14" s="104">
        <f>F14+'Fleet totals PC-LDT1'!F14</f>
        <v>19066.356161614207</v>
      </c>
      <c r="H14" s="119">
        <f>'2012'!K31</f>
        <v>0.010124015633158217</v>
      </c>
      <c r="I14" s="128">
        <f t="shared" si="4"/>
        <v>7620.50855132832</v>
      </c>
      <c r="J14" s="109">
        <v>0.03</v>
      </c>
      <c r="K14" s="104">
        <f t="shared" si="2"/>
        <v>22581.48</v>
      </c>
      <c r="L14" s="104">
        <f t="shared" si="8"/>
        <v>40144.85333333333</v>
      </c>
      <c r="M14" s="119">
        <f t="shared" si="9"/>
        <v>0.05333333333333333</v>
      </c>
      <c r="N14" s="129">
        <f t="shared" si="5"/>
        <v>40144.85333333333</v>
      </c>
      <c r="O14" s="108">
        <v>0.06</v>
      </c>
      <c r="P14" s="104">
        <f t="shared" si="3"/>
        <v>45162.96</v>
      </c>
      <c r="Q14" s="104">
        <f t="shared" si="10"/>
        <v>225814.8</v>
      </c>
      <c r="R14" s="110">
        <f t="shared" si="7"/>
        <v>0.3</v>
      </c>
      <c r="S14" s="129">
        <f t="shared" si="6"/>
        <v>225814.8</v>
      </c>
    </row>
    <row r="15" spans="1:19" ht="12.75">
      <c r="A15" s="59">
        <v>2013</v>
      </c>
      <c r="B15" s="104">
        <f>Sales!R65</f>
        <v>752716</v>
      </c>
      <c r="C15" s="114">
        <f t="shared" si="11"/>
        <v>0.8397511702939457</v>
      </c>
      <c r="D15" s="109">
        <v>0.03</v>
      </c>
      <c r="E15" s="104">
        <f t="shared" si="0"/>
        <v>22581.48</v>
      </c>
      <c r="F15" s="104">
        <f t="shared" si="1"/>
        <v>7620.50855132832</v>
      </c>
      <c r="G15" s="104">
        <f>F15+'Fleet totals PC-LDT1'!F15</f>
        <v>19066.356161614207</v>
      </c>
      <c r="H15" s="119">
        <f>'2013'!K31</f>
        <v>0.010124015633158217</v>
      </c>
      <c r="I15" s="128">
        <f t="shared" si="4"/>
        <v>7620.50855132832</v>
      </c>
      <c r="J15" s="109">
        <v>0.03</v>
      </c>
      <c r="K15" s="104">
        <f t="shared" si="2"/>
        <v>22581.48</v>
      </c>
      <c r="L15" s="104">
        <f t="shared" si="8"/>
        <v>40144.85333333333</v>
      </c>
      <c r="M15" s="119">
        <f t="shared" si="9"/>
        <v>0.05333333333333333</v>
      </c>
      <c r="N15" s="129">
        <f t="shared" si="5"/>
        <v>40144.85333333333</v>
      </c>
      <c r="O15" s="108">
        <v>0.06</v>
      </c>
      <c r="P15" s="104">
        <f t="shared" si="3"/>
        <v>45162.96</v>
      </c>
      <c r="Q15" s="104">
        <f t="shared" si="10"/>
        <v>225814.8</v>
      </c>
      <c r="R15" s="110">
        <f t="shared" si="7"/>
        <v>0.3</v>
      </c>
      <c r="S15" s="129">
        <f t="shared" si="6"/>
        <v>225814.8</v>
      </c>
    </row>
    <row r="16" spans="1:19" ht="12.75">
      <c r="A16" s="59">
        <v>2014</v>
      </c>
      <c r="B16" s="104">
        <f>Sales!S65</f>
        <v>752716</v>
      </c>
      <c r="C16" s="114">
        <f t="shared" si="11"/>
        <v>0.8397511702939457</v>
      </c>
      <c r="D16" s="109">
        <v>0.03</v>
      </c>
      <c r="E16" s="104">
        <f t="shared" si="0"/>
        <v>22581.48</v>
      </c>
      <c r="F16" s="104">
        <f t="shared" si="1"/>
        <v>7620.50855132832</v>
      </c>
      <c r="G16" s="104">
        <f>F16+'Fleet totals PC-LDT1'!F16</f>
        <v>19066.356161614207</v>
      </c>
      <c r="H16" s="119">
        <f>'2014'!K31</f>
        <v>0.010124015633158217</v>
      </c>
      <c r="I16" s="128">
        <f t="shared" si="4"/>
        <v>7620.50855132832</v>
      </c>
      <c r="J16" s="109">
        <v>0.03</v>
      </c>
      <c r="K16" s="104">
        <f t="shared" si="2"/>
        <v>22581.48</v>
      </c>
      <c r="L16" s="104">
        <f t="shared" si="8"/>
        <v>40144.85333333333</v>
      </c>
      <c r="M16" s="119">
        <f t="shared" si="9"/>
        <v>0.05333333333333333</v>
      </c>
      <c r="N16" s="129">
        <f t="shared" si="5"/>
        <v>40144.85333333333</v>
      </c>
      <c r="O16" s="108">
        <v>0.06</v>
      </c>
      <c r="P16" s="104">
        <f t="shared" si="3"/>
        <v>45162.96</v>
      </c>
      <c r="Q16" s="104">
        <f t="shared" si="10"/>
        <v>225814.8</v>
      </c>
      <c r="R16" s="110">
        <f t="shared" si="7"/>
        <v>0.3</v>
      </c>
      <c r="S16" s="129">
        <f t="shared" si="6"/>
        <v>225814.8</v>
      </c>
    </row>
    <row r="17" spans="1:19" ht="12.75">
      <c r="A17" s="59">
        <v>2015</v>
      </c>
      <c r="B17" s="104">
        <f>Sales!U65</f>
        <v>752716</v>
      </c>
      <c r="C17" s="114">
        <f t="shared" si="11"/>
        <v>0.8397511702939457</v>
      </c>
      <c r="D17" s="109">
        <v>0.04</v>
      </c>
      <c r="E17" s="104">
        <f t="shared" si="0"/>
        <v>30108.64</v>
      </c>
      <c r="F17" s="104">
        <f t="shared" si="1"/>
        <v>10160.678068437759</v>
      </c>
      <c r="G17" s="104">
        <f>F17+'Fleet totals PC-LDT1'!F17</f>
        <v>25421.808215485606</v>
      </c>
      <c r="H17" s="119">
        <f>'2015'!K31</f>
        <v>0.01349868751087762</v>
      </c>
      <c r="I17" s="128">
        <f t="shared" si="4"/>
        <v>10160.678068437759</v>
      </c>
      <c r="J17" s="109">
        <v>0.04</v>
      </c>
      <c r="K17" s="104">
        <f t="shared" si="2"/>
        <v>30108.64</v>
      </c>
      <c r="L17" s="104">
        <f t="shared" si="8"/>
        <v>53526.47111111111</v>
      </c>
      <c r="M17" s="119">
        <f t="shared" si="9"/>
        <v>0.07111111111111111</v>
      </c>
      <c r="N17" s="129">
        <f t="shared" si="5"/>
        <v>53526.47111111111</v>
      </c>
      <c r="O17" s="108">
        <v>0.06</v>
      </c>
      <c r="P17" s="104">
        <f t="shared" si="3"/>
        <v>45162.96</v>
      </c>
      <c r="Q17" s="104">
        <f t="shared" si="10"/>
        <v>225814.8</v>
      </c>
      <c r="R17" s="110">
        <f t="shared" si="7"/>
        <v>0.3</v>
      </c>
      <c r="S17" s="129">
        <f t="shared" si="6"/>
        <v>225814.8</v>
      </c>
    </row>
    <row r="18" spans="1:19" ht="12.75">
      <c r="A18" s="59">
        <v>2016</v>
      </c>
      <c r="B18" s="104">
        <f>Sales!V65</f>
        <v>752716</v>
      </c>
      <c r="C18" s="114">
        <f t="shared" si="11"/>
        <v>0.8397511702939457</v>
      </c>
      <c r="D18" s="109">
        <v>0.04</v>
      </c>
      <c r="E18" s="104">
        <f t="shared" si="0"/>
        <v>30108.64</v>
      </c>
      <c r="F18" s="104">
        <f t="shared" si="1"/>
        <v>10160.678068437759</v>
      </c>
      <c r="G18" s="104">
        <f>F18+'Fleet totals PC-LDT1'!F18</f>
        <v>25421.808215485606</v>
      </c>
      <c r="H18" s="119">
        <f>'2016'!K31</f>
        <v>0.01349868751087762</v>
      </c>
      <c r="I18" s="128">
        <f t="shared" si="4"/>
        <v>10160.678068437759</v>
      </c>
      <c r="J18" s="109">
        <v>0.04</v>
      </c>
      <c r="K18" s="104">
        <f t="shared" si="2"/>
        <v>30108.64</v>
      </c>
      <c r="L18" s="104">
        <f t="shared" si="8"/>
        <v>53526.47111111111</v>
      </c>
      <c r="M18" s="119">
        <f t="shared" si="9"/>
        <v>0.07111111111111111</v>
      </c>
      <c r="N18" s="129">
        <f t="shared" si="5"/>
        <v>53526.47111111111</v>
      </c>
      <c r="O18" s="108">
        <v>0.06</v>
      </c>
      <c r="P18" s="104">
        <f t="shared" si="3"/>
        <v>45162.96</v>
      </c>
      <c r="Q18" s="104">
        <f t="shared" si="10"/>
        <v>225814.8</v>
      </c>
      <c r="R18" s="110">
        <f t="shared" si="7"/>
        <v>0.3</v>
      </c>
      <c r="S18" s="129">
        <f t="shared" si="6"/>
        <v>225814.8</v>
      </c>
    </row>
    <row r="19" spans="1:19" ht="12.75">
      <c r="A19" s="59">
        <v>2017</v>
      </c>
      <c r="B19" s="104">
        <f>Sales!W65</f>
        <v>752716</v>
      </c>
      <c r="C19" s="114">
        <f t="shared" si="11"/>
        <v>0.8397511702939457</v>
      </c>
      <c r="D19" s="109">
        <v>0.04</v>
      </c>
      <c r="E19" s="104">
        <f t="shared" si="0"/>
        <v>30108.64</v>
      </c>
      <c r="F19" s="104">
        <f t="shared" si="1"/>
        <v>10160.678068437759</v>
      </c>
      <c r="G19" s="104">
        <f>F19+'Fleet totals PC-LDT1'!F19</f>
        <v>25421.808215485606</v>
      </c>
      <c r="H19" s="119">
        <f>'2017'!K31</f>
        <v>0.01349868751087762</v>
      </c>
      <c r="I19" s="128">
        <f t="shared" si="4"/>
        <v>10160.678068437759</v>
      </c>
      <c r="J19" s="109">
        <v>0.04</v>
      </c>
      <c r="K19" s="104">
        <f t="shared" si="2"/>
        <v>30108.64</v>
      </c>
      <c r="L19" s="104">
        <f t="shared" si="8"/>
        <v>53526.47111111111</v>
      </c>
      <c r="M19" s="119">
        <f t="shared" si="9"/>
        <v>0.07111111111111111</v>
      </c>
      <c r="N19" s="129">
        <f t="shared" si="5"/>
        <v>53526.47111111111</v>
      </c>
      <c r="O19" s="108">
        <v>0.06</v>
      </c>
      <c r="P19" s="104">
        <f t="shared" si="3"/>
        <v>45162.96</v>
      </c>
      <c r="Q19" s="104">
        <f t="shared" si="10"/>
        <v>225814.8</v>
      </c>
      <c r="R19" s="110">
        <f t="shared" si="7"/>
        <v>0.3</v>
      </c>
      <c r="S19" s="129">
        <f t="shared" si="6"/>
        <v>225814.8</v>
      </c>
    </row>
    <row r="20" spans="1:19" ht="12.75">
      <c r="A20" s="59">
        <v>2018</v>
      </c>
      <c r="B20" s="104">
        <f>Sales!X65</f>
        <v>752716</v>
      </c>
      <c r="C20" s="114">
        <f t="shared" si="11"/>
        <v>0.8397511702939457</v>
      </c>
      <c r="D20" s="109">
        <v>0.05</v>
      </c>
      <c r="E20" s="104">
        <f t="shared" si="0"/>
        <v>37635.8</v>
      </c>
      <c r="F20" s="104">
        <f t="shared" si="1"/>
        <v>12700.847585547197</v>
      </c>
      <c r="G20" s="104">
        <f>F20+'Fleet totals PC-LDT1'!F20</f>
        <v>31777.260269357</v>
      </c>
      <c r="H20" s="119">
        <f>'2018'!K31</f>
        <v>0.016873359388597024</v>
      </c>
      <c r="I20" s="128">
        <f t="shared" si="4"/>
        <v>12700.847585547197</v>
      </c>
      <c r="J20" s="109">
        <v>0.05</v>
      </c>
      <c r="K20" s="104">
        <f t="shared" si="2"/>
        <v>37635.8</v>
      </c>
      <c r="L20" s="104">
        <f t="shared" si="8"/>
        <v>66908.08888888889</v>
      </c>
      <c r="M20" s="119">
        <f t="shared" si="9"/>
        <v>0.08888888888888889</v>
      </c>
      <c r="N20" s="129">
        <f t="shared" si="5"/>
        <v>66908.08888888889</v>
      </c>
      <c r="O20" s="108">
        <v>0.06</v>
      </c>
      <c r="P20" s="104">
        <f t="shared" si="3"/>
        <v>45162.96</v>
      </c>
      <c r="Q20" s="104">
        <f t="shared" si="10"/>
        <v>225814.8</v>
      </c>
      <c r="R20" s="110">
        <f t="shared" si="7"/>
        <v>0.3</v>
      </c>
      <c r="S20" s="129">
        <f t="shared" si="6"/>
        <v>225814.8</v>
      </c>
    </row>
    <row r="21" spans="1:19" ht="12.75">
      <c r="A21" s="59">
        <v>2019</v>
      </c>
      <c r="B21" s="104">
        <f>Sales!Y65</f>
        <v>752716</v>
      </c>
      <c r="C21" s="114">
        <f t="shared" si="11"/>
        <v>0.8397511702939457</v>
      </c>
      <c r="D21" s="109">
        <v>0.05</v>
      </c>
      <c r="E21" s="104">
        <f t="shared" si="0"/>
        <v>37635.8</v>
      </c>
      <c r="F21" s="104">
        <f t="shared" si="1"/>
        <v>12700.847585547197</v>
      </c>
      <c r="G21" s="104">
        <f>F21+'Fleet totals PC-LDT1'!F21</f>
        <v>31777.260269357</v>
      </c>
      <c r="H21" s="119">
        <f>'2019'!K31</f>
        <v>0.016873359388597024</v>
      </c>
      <c r="I21" s="128">
        <f t="shared" si="4"/>
        <v>12700.847585547197</v>
      </c>
      <c r="J21" s="109">
        <v>0.05</v>
      </c>
      <c r="K21" s="104">
        <f t="shared" si="2"/>
        <v>37635.8</v>
      </c>
      <c r="L21" s="104">
        <f t="shared" si="8"/>
        <v>66908.08888888889</v>
      </c>
      <c r="M21" s="119">
        <f t="shared" si="9"/>
        <v>0.08888888888888889</v>
      </c>
      <c r="N21" s="129">
        <f t="shared" si="5"/>
        <v>66908.08888888889</v>
      </c>
      <c r="O21" s="108">
        <v>0.06</v>
      </c>
      <c r="P21" s="104">
        <f t="shared" si="3"/>
        <v>45162.96</v>
      </c>
      <c r="Q21" s="104">
        <f t="shared" si="10"/>
        <v>225814.8</v>
      </c>
      <c r="R21" s="110">
        <f t="shared" si="7"/>
        <v>0.3</v>
      </c>
      <c r="S21" s="129">
        <f t="shared" si="6"/>
        <v>225814.8</v>
      </c>
    </row>
    <row r="22" spans="1:19" ht="12.75">
      <c r="A22" s="59">
        <v>2020</v>
      </c>
      <c r="B22" s="104">
        <f>Sales!Z65</f>
        <v>752716</v>
      </c>
      <c r="C22" s="114">
        <f t="shared" si="11"/>
        <v>0.8397511702939457</v>
      </c>
      <c r="D22" s="109">
        <v>0.05</v>
      </c>
      <c r="E22" s="104">
        <f t="shared" si="0"/>
        <v>37635.8</v>
      </c>
      <c r="F22" s="104">
        <f t="shared" si="1"/>
        <v>12700.847585547197</v>
      </c>
      <c r="G22" s="104">
        <f>F22+'Fleet totals PC-LDT1'!F22</f>
        <v>31777.260269357</v>
      </c>
      <c r="H22" s="119">
        <f>'2020'!K31</f>
        <v>0.016873359388597024</v>
      </c>
      <c r="I22" s="128">
        <f t="shared" si="4"/>
        <v>12700.847585547197</v>
      </c>
      <c r="J22" s="109">
        <v>0.05</v>
      </c>
      <c r="K22" s="104">
        <f t="shared" si="2"/>
        <v>37635.8</v>
      </c>
      <c r="L22" s="104">
        <f t="shared" si="8"/>
        <v>66908.08888888889</v>
      </c>
      <c r="M22" s="119">
        <f t="shared" si="9"/>
        <v>0.08888888888888889</v>
      </c>
      <c r="N22" s="129">
        <f t="shared" si="5"/>
        <v>66908.08888888889</v>
      </c>
      <c r="O22" s="108">
        <v>0.06</v>
      </c>
      <c r="P22" s="104">
        <f t="shared" si="3"/>
        <v>45162.96</v>
      </c>
      <c r="Q22" s="104">
        <f t="shared" si="10"/>
        <v>225814.8</v>
      </c>
      <c r="R22" s="110">
        <f t="shared" si="7"/>
        <v>0.3</v>
      </c>
      <c r="S22" s="129">
        <f t="shared" si="6"/>
        <v>225814.8</v>
      </c>
    </row>
    <row r="23" spans="2:17" ht="12.75">
      <c r="B23" s="33"/>
      <c r="D23" t="s">
        <v>40</v>
      </c>
      <c r="F23" s="33" t="s">
        <v>40</v>
      </c>
      <c r="N23" s="111"/>
      <c r="O23" s="111"/>
      <c r="P23" s="111"/>
      <c r="Q23" s="111"/>
    </row>
    <row r="24" spans="1:17" ht="12.75">
      <c r="A24" t="s">
        <v>40</v>
      </c>
      <c r="B24" s="33" t="s">
        <v>40</v>
      </c>
      <c r="N24" s="111"/>
      <c r="O24" s="111"/>
      <c r="P24" s="111"/>
      <c r="Q24" s="111"/>
    </row>
    <row r="25" spans="2:17" ht="12.75">
      <c r="B25" s="33"/>
      <c r="N25" s="111"/>
      <c r="O25" s="111"/>
      <c r="P25" s="111"/>
      <c r="Q25" s="111"/>
    </row>
    <row r="26" spans="1:17" ht="12.75">
      <c r="A26" s="48" t="s">
        <v>175</v>
      </c>
      <c r="N26" s="111"/>
      <c r="O26" s="111"/>
      <c r="P26" s="111"/>
      <c r="Q26" s="111"/>
    </row>
    <row r="27" spans="1:18" ht="12.75">
      <c r="A27" s="150" t="s">
        <v>43</v>
      </c>
      <c r="B27" s="150" t="s">
        <v>171</v>
      </c>
      <c r="C27" s="144" t="s">
        <v>191</v>
      </c>
      <c r="D27" s="166" t="s">
        <v>47</v>
      </c>
      <c r="E27" s="167"/>
      <c r="F27" s="167"/>
      <c r="G27" s="167"/>
      <c r="H27" s="168"/>
      <c r="I27" s="166" t="s">
        <v>100</v>
      </c>
      <c r="J27" s="167"/>
      <c r="K27" s="167"/>
      <c r="L27" s="167"/>
      <c r="M27" s="168"/>
      <c r="N27" s="166" t="s">
        <v>91</v>
      </c>
      <c r="O27" s="167"/>
      <c r="P27" s="167"/>
      <c r="Q27" s="167"/>
      <c r="R27" s="168"/>
    </row>
    <row r="28" spans="1:18" ht="12.75" customHeight="1">
      <c r="A28" s="150"/>
      <c r="B28" s="150"/>
      <c r="C28" s="172"/>
      <c r="D28" s="143" t="s">
        <v>172</v>
      </c>
      <c r="E28" s="143" t="s">
        <v>94</v>
      </c>
      <c r="F28" s="143" t="s">
        <v>173</v>
      </c>
      <c r="G28" s="144" t="s">
        <v>193</v>
      </c>
      <c r="H28" s="169" t="s">
        <v>188</v>
      </c>
      <c r="I28" s="143" t="s">
        <v>172</v>
      </c>
      <c r="J28" s="143" t="s">
        <v>94</v>
      </c>
      <c r="K28" s="143" t="s">
        <v>173</v>
      </c>
      <c r="L28" s="144" t="s">
        <v>193</v>
      </c>
      <c r="M28" s="144" t="s">
        <v>188</v>
      </c>
      <c r="N28" s="144" t="s">
        <v>172</v>
      </c>
      <c r="O28" s="144" t="s">
        <v>94</v>
      </c>
      <c r="P28" s="144" t="s">
        <v>173</v>
      </c>
      <c r="Q28" s="163" t="s">
        <v>193</v>
      </c>
      <c r="R28" s="147" t="s">
        <v>197</v>
      </c>
    </row>
    <row r="29" spans="1:18" ht="12.75">
      <c r="A29" s="150"/>
      <c r="B29" s="150"/>
      <c r="C29" s="145"/>
      <c r="D29" s="143"/>
      <c r="E29" s="143"/>
      <c r="F29" s="143"/>
      <c r="G29" s="145"/>
      <c r="H29" s="171"/>
      <c r="I29" s="143"/>
      <c r="J29" s="143"/>
      <c r="K29" s="143"/>
      <c r="L29" s="145"/>
      <c r="M29" s="145"/>
      <c r="N29" s="145"/>
      <c r="O29" s="145"/>
      <c r="P29" s="145"/>
      <c r="Q29" s="173"/>
      <c r="R29" s="148"/>
    </row>
    <row r="30" spans="1:18" ht="12.75">
      <c r="A30" s="59">
        <v>2003</v>
      </c>
      <c r="B30" s="104">
        <v>0</v>
      </c>
      <c r="C30" s="120">
        <v>0</v>
      </c>
      <c r="D30" s="108">
        <v>0</v>
      </c>
      <c r="E30" s="104">
        <f aca="true" t="shared" si="12" ref="E30:E47">+B30*D30/100</f>
        <v>0</v>
      </c>
      <c r="F30" s="104">
        <f>Summary!E55</f>
        <v>0</v>
      </c>
      <c r="G30" s="108">
        <v>0</v>
      </c>
      <c r="H30" s="59" t="s">
        <v>189</v>
      </c>
      <c r="I30" s="108">
        <v>0</v>
      </c>
      <c r="J30" s="104">
        <f aca="true" t="shared" si="13" ref="J30:J47">+B30*I30/100</f>
        <v>0</v>
      </c>
      <c r="K30" s="104">
        <f aca="true" t="shared" si="14" ref="K30:L47">(+J30/0.45)/4</f>
        <v>0</v>
      </c>
      <c r="L30" s="104">
        <f t="shared" si="14"/>
        <v>0</v>
      </c>
      <c r="M30" s="104" t="s">
        <v>189</v>
      </c>
      <c r="N30" s="108">
        <v>0.1</v>
      </c>
      <c r="O30" s="104">
        <f aca="true" t="shared" si="15" ref="O30:O47">+B30*N30</f>
        <v>0</v>
      </c>
      <c r="P30" s="104">
        <f>(+O30/0.2)/4</f>
        <v>0</v>
      </c>
      <c r="Q30" s="110">
        <f>(N30/4)/0.2</f>
        <v>0.125</v>
      </c>
      <c r="R30" s="129">
        <f>Q30*B30</f>
        <v>0</v>
      </c>
    </row>
    <row r="31" spans="1:18" ht="12.75">
      <c r="A31" s="59">
        <v>2004</v>
      </c>
      <c r="B31" s="104">
        <v>0</v>
      </c>
      <c r="C31" s="120">
        <v>0</v>
      </c>
      <c r="D31" s="108">
        <v>0</v>
      </c>
      <c r="E31" s="104">
        <f t="shared" si="12"/>
        <v>0</v>
      </c>
      <c r="F31" s="104">
        <f>Summary!F55</f>
        <v>0</v>
      </c>
      <c r="G31" s="108">
        <v>0</v>
      </c>
      <c r="H31" s="59" t="s">
        <v>189</v>
      </c>
      <c r="I31" s="108">
        <v>0</v>
      </c>
      <c r="J31" s="104">
        <f t="shared" si="13"/>
        <v>0</v>
      </c>
      <c r="K31" s="104">
        <f t="shared" si="14"/>
        <v>0</v>
      </c>
      <c r="L31" s="104">
        <f t="shared" si="14"/>
        <v>0</v>
      </c>
      <c r="M31" s="104" t="s">
        <v>189</v>
      </c>
      <c r="N31" s="108">
        <v>0.1</v>
      </c>
      <c r="O31" s="104">
        <f t="shared" si="15"/>
        <v>0</v>
      </c>
      <c r="P31" s="104">
        <f>(+O31/0.2)/2</f>
        <v>0</v>
      </c>
      <c r="Q31" s="110">
        <f>(N31/2)/0.2</f>
        <v>0.25</v>
      </c>
      <c r="R31" s="129">
        <f aca="true" t="shared" si="16" ref="R31:R47">Q31*B31</f>
        <v>0</v>
      </c>
    </row>
    <row r="32" spans="1:18" ht="12.75">
      <c r="A32" s="59">
        <v>2005</v>
      </c>
      <c r="B32" s="104">
        <v>0</v>
      </c>
      <c r="C32" s="120">
        <v>0</v>
      </c>
      <c r="D32" s="108">
        <v>0</v>
      </c>
      <c r="E32" s="104">
        <f t="shared" si="12"/>
        <v>0</v>
      </c>
      <c r="F32" s="104">
        <f>Summary!G55</f>
        <v>0</v>
      </c>
      <c r="G32" s="108">
        <v>0</v>
      </c>
      <c r="H32" s="59" t="s">
        <v>189</v>
      </c>
      <c r="I32" s="108">
        <v>0</v>
      </c>
      <c r="J32" s="104">
        <f t="shared" si="13"/>
        <v>0</v>
      </c>
      <c r="K32" s="104">
        <f t="shared" si="14"/>
        <v>0</v>
      </c>
      <c r="L32" s="104">
        <f t="shared" si="14"/>
        <v>0</v>
      </c>
      <c r="M32" s="104" t="s">
        <v>189</v>
      </c>
      <c r="N32" s="108">
        <v>0.1</v>
      </c>
      <c r="O32" s="104">
        <f t="shared" si="15"/>
        <v>0</v>
      </c>
      <c r="P32" s="104">
        <f>(+O32/0.2)/1.33</f>
        <v>0</v>
      </c>
      <c r="Q32" s="110">
        <f>(N32/1.33)/0.2</f>
        <v>0.37593984962406013</v>
      </c>
      <c r="R32" s="129">
        <f t="shared" si="16"/>
        <v>0</v>
      </c>
    </row>
    <row r="33" spans="1:18" ht="12.75">
      <c r="A33" s="59">
        <v>2006</v>
      </c>
      <c r="B33" s="104">
        <v>0</v>
      </c>
      <c r="C33" s="120">
        <v>0</v>
      </c>
      <c r="D33" s="108">
        <v>0</v>
      </c>
      <c r="E33" s="104">
        <f t="shared" si="12"/>
        <v>0</v>
      </c>
      <c r="F33" s="104">
        <f>Summary!H55</f>
        <v>0</v>
      </c>
      <c r="G33" s="108">
        <v>0</v>
      </c>
      <c r="H33" s="59" t="s">
        <v>189</v>
      </c>
      <c r="I33" s="108">
        <v>0</v>
      </c>
      <c r="J33" s="104">
        <f t="shared" si="13"/>
        <v>0</v>
      </c>
      <c r="K33" s="104">
        <f t="shared" si="14"/>
        <v>0</v>
      </c>
      <c r="L33" s="104">
        <f t="shared" si="14"/>
        <v>0</v>
      </c>
      <c r="M33" s="104" t="s">
        <v>189</v>
      </c>
      <c r="N33" s="108">
        <v>0.1</v>
      </c>
      <c r="O33" s="104">
        <f t="shared" si="15"/>
        <v>0</v>
      </c>
      <c r="P33" s="104">
        <f aca="true" t="shared" si="17" ref="P33:P47">(+O33/0.2)</f>
        <v>0</v>
      </c>
      <c r="Q33" s="110">
        <f aca="true" t="shared" si="18" ref="Q33:Q47">N33/0.2</f>
        <v>0.5</v>
      </c>
      <c r="R33" s="129">
        <f t="shared" si="16"/>
        <v>0</v>
      </c>
    </row>
    <row r="34" spans="1:18" ht="12.75">
      <c r="A34" s="59">
        <v>2007</v>
      </c>
      <c r="B34" s="104">
        <v>24418.8</v>
      </c>
      <c r="C34" s="120">
        <f>B34/($B$14+$B$39)</f>
        <v>0.027242301050029227</v>
      </c>
      <c r="D34" s="108">
        <v>0</v>
      </c>
      <c r="E34" s="104">
        <f t="shared" si="12"/>
        <v>0</v>
      </c>
      <c r="F34" s="104">
        <f>Summary!I55</f>
        <v>0</v>
      </c>
      <c r="G34" s="108">
        <v>0</v>
      </c>
      <c r="H34" s="59" t="s">
        <v>189</v>
      </c>
      <c r="I34" s="108">
        <v>0</v>
      </c>
      <c r="J34" s="104">
        <f t="shared" si="13"/>
        <v>0</v>
      </c>
      <c r="K34" s="104">
        <f t="shared" si="14"/>
        <v>0</v>
      </c>
      <c r="L34" s="104">
        <f t="shared" si="14"/>
        <v>0</v>
      </c>
      <c r="M34" s="104" t="s">
        <v>189</v>
      </c>
      <c r="N34" s="108">
        <v>0.1</v>
      </c>
      <c r="O34" s="104">
        <f t="shared" si="15"/>
        <v>2441.88</v>
      </c>
      <c r="P34" s="104">
        <f t="shared" si="17"/>
        <v>12209.4</v>
      </c>
      <c r="Q34" s="110">
        <f t="shared" si="18"/>
        <v>0.5</v>
      </c>
      <c r="R34" s="129">
        <f t="shared" si="16"/>
        <v>12209.4</v>
      </c>
    </row>
    <row r="35" spans="1:18" ht="12.75">
      <c r="A35" s="59">
        <v>2008</v>
      </c>
      <c r="B35" s="104">
        <v>48837.6</v>
      </c>
      <c r="C35" s="120">
        <f aca="true" t="shared" si="19" ref="C35:C47">B35/($B$14+$B$39)</f>
        <v>0.054484602100058455</v>
      </c>
      <c r="D35" s="108">
        <v>0</v>
      </c>
      <c r="E35" s="104">
        <f t="shared" si="12"/>
        <v>0</v>
      </c>
      <c r="F35" s="104">
        <f>Summary!J55</f>
        <v>0</v>
      </c>
      <c r="G35" s="108">
        <v>0</v>
      </c>
      <c r="H35" s="59" t="s">
        <v>189</v>
      </c>
      <c r="I35" s="108">
        <v>0</v>
      </c>
      <c r="J35" s="104">
        <f t="shared" si="13"/>
        <v>0</v>
      </c>
      <c r="K35" s="104">
        <f t="shared" si="14"/>
        <v>0</v>
      </c>
      <c r="L35" s="104">
        <f t="shared" si="14"/>
        <v>0</v>
      </c>
      <c r="M35" s="104" t="s">
        <v>189</v>
      </c>
      <c r="N35" s="108">
        <v>0.1</v>
      </c>
      <c r="O35" s="104">
        <f t="shared" si="15"/>
        <v>4883.76</v>
      </c>
      <c r="P35" s="104">
        <f t="shared" si="17"/>
        <v>24418.8</v>
      </c>
      <c r="Q35" s="110">
        <f t="shared" si="18"/>
        <v>0.5</v>
      </c>
      <c r="R35" s="129">
        <f t="shared" si="16"/>
        <v>24418.8</v>
      </c>
    </row>
    <row r="36" spans="1:19" ht="12.75">
      <c r="A36" s="59">
        <v>2009</v>
      </c>
      <c r="B36" s="104">
        <v>73256.4</v>
      </c>
      <c r="C36" s="120">
        <f t="shared" si="19"/>
        <v>0.08172690315008768</v>
      </c>
      <c r="D36" s="108">
        <v>0</v>
      </c>
      <c r="E36" s="104">
        <f t="shared" si="12"/>
        <v>0</v>
      </c>
      <c r="F36" s="104">
        <f>Summary!K55</f>
        <v>0</v>
      </c>
      <c r="G36" s="108">
        <v>0</v>
      </c>
      <c r="H36" s="59" t="s">
        <v>189</v>
      </c>
      <c r="I36" s="108">
        <v>0</v>
      </c>
      <c r="J36" s="104">
        <f t="shared" si="13"/>
        <v>0</v>
      </c>
      <c r="K36" s="104">
        <f t="shared" si="14"/>
        <v>0</v>
      </c>
      <c r="L36" s="104">
        <f t="shared" si="14"/>
        <v>0</v>
      </c>
      <c r="M36" s="104" t="s">
        <v>189</v>
      </c>
      <c r="N36" s="108">
        <v>0.1</v>
      </c>
      <c r="O36" s="104">
        <f t="shared" si="15"/>
        <v>7325.639999999999</v>
      </c>
      <c r="P36" s="104">
        <f t="shared" si="17"/>
        <v>36628.2</v>
      </c>
      <c r="Q36" s="110">
        <f t="shared" si="18"/>
        <v>0.5</v>
      </c>
      <c r="R36" s="129">
        <f t="shared" si="16"/>
        <v>36628.2</v>
      </c>
      <c r="S36" t="s">
        <v>40</v>
      </c>
    </row>
    <row r="37" spans="1:18" ht="12.75">
      <c r="A37" s="59">
        <v>2010</v>
      </c>
      <c r="B37" s="104">
        <v>97675.2</v>
      </c>
      <c r="C37" s="120">
        <f t="shared" si="19"/>
        <v>0.10896920420011691</v>
      </c>
      <c r="D37" s="108">
        <v>0</v>
      </c>
      <c r="E37" s="104">
        <f t="shared" si="12"/>
        <v>0</v>
      </c>
      <c r="F37" s="104">
        <f>Summary!L55</f>
        <v>0</v>
      </c>
      <c r="G37" s="108">
        <v>0</v>
      </c>
      <c r="H37" s="59" t="s">
        <v>189</v>
      </c>
      <c r="I37" s="108">
        <v>0</v>
      </c>
      <c r="J37" s="104">
        <f t="shared" si="13"/>
        <v>0</v>
      </c>
      <c r="K37" s="104">
        <f t="shared" si="14"/>
        <v>0</v>
      </c>
      <c r="L37" s="104">
        <f t="shared" si="14"/>
        <v>0</v>
      </c>
      <c r="M37" s="104" t="s">
        <v>189</v>
      </c>
      <c r="N37" s="108">
        <v>0.1</v>
      </c>
      <c r="O37" s="104">
        <f t="shared" si="15"/>
        <v>9767.52</v>
      </c>
      <c r="P37" s="104">
        <f t="shared" si="17"/>
        <v>48837.6</v>
      </c>
      <c r="Q37" s="110">
        <f t="shared" si="18"/>
        <v>0.5</v>
      </c>
      <c r="R37" s="129">
        <f t="shared" si="16"/>
        <v>48837.6</v>
      </c>
    </row>
    <row r="38" spans="1:18" ht="12.75">
      <c r="A38" s="59">
        <v>2011</v>
      </c>
      <c r="B38" s="104">
        <v>122094</v>
      </c>
      <c r="C38" s="120">
        <f t="shared" si="19"/>
        <v>0.13621150525014614</v>
      </c>
      <c r="D38" s="108">
        <v>0</v>
      </c>
      <c r="E38" s="104">
        <f t="shared" si="12"/>
        <v>0</v>
      </c>
      <c r="F38" s="104">
        <f>Summary!M55</f>
        <v>0</v>
      </c>
      <c r="G38" s="108">
        <v>0</v>
      </c>
      <c r="H38" s="59" t="s">
        <v>189</v>
      </c>
      <c r="I38" s="108">
        <v>0</v>
      </c>
      <c r="J38" s="104">
        <f t="shared" si="13"/>
        <v>0</v>
      </c>
      <c r="K38" s="104">
        <f t="shared" si="14"/>
        <v>0</v>
      </c>
      <c r="L38" s="104">
        <f t="shared" si="14"/>
        <v>0</v>
      </c>
      <c r="M38" s="104" t="s">
        <v>189</v>
      </c>
      <c r="N38" s="108">
        <v>0.1</v>
      </c>
      <c r="O38" s="104">
        <f t="shared" si="15"/>
        <v>12209.400000000001</v>
      </c>
      <c r="P38" s="104">
        <f t="shared" si="17"/>
        <v>61047.00000000001</v>
      </c>
      <c r="Q38" s="110">
        <f t="shared" si="18"/>
        <v>0.5</v>
      </c>
      <c r="R38" s="129">
        <f t="shared" si="16"/>
        <v>61047</v>
      </c>
    </row>
    <row r="39" spans="1:18" ht="12.75">
      <c r="A39" s="59">
        <v>2012</v>
      </c>
      <c r="B39" s="104">
        <v>143640</v>
      </c>
      <c r="C39" s="120">
        <f t="shared" si="19"/>
        <v>0.16024882970605428</v>
      </c>
      <c r="D39" s="108">
        <v>0</v>
      </c>
      <c r="E39" s="104">
        <f t="shared" si="12"/>
        <v>0</v>
      </c>
      <c r="F39" s="104">
        <f>Summary!N55</f>
        <v>0</v>
      </c>
      <c r="G39" s="108">
        <v>0</v>
      </c>
      <c r="H39" s="59" t="s">
        <v>189</v>
      </c>
      <c r="I39" s="108">
        <v>0</v>
      </c>
      <c r="J39" s="104">
        <f t="shared" si="13"/>
        <v>0</v>
      </c>
      <c r="K39" s="104">
        <f t="shared" si="14"/>
        <v>0</v>
      </c>
      <c r="L39" s="104">
        <f t="shared" si="14"/>
        <v>0</v>
      </c>
      <c r="M39" s="104" t="s">
        <v>189</v>
      </c>
      <c r="N39" s="108">
        <v>0.1</v>
      </c>
      <c r="O39" s="104">
        <f t="shared" si="15"/>
        <v>14364</v>
      </c>
      <c r="P39" s="104">
        <f t="shared" si="17"/>
        <v>71820</v>
      </c>
      <c r="Q39" s="110">
        <f t="shared" si="18"/>
        <v>0.5</v>
      </c>
      <c r="R39" s="129">
        <f t="shared" si="16"/>
        <v>71820</v>
      </c>
    </row>
    <row r="40" spans="1:18" ht="12.75">
      <c r="A40" s="59">
        <v>2013</v>
      </c>
      <c r="B40" s="104">
        <v>143640</v>
      </c>
      <c r="C40" s="120">
        <f t="shared" si="19"/>
        <v>0.16024882970605428</v>
      </c>
      <c r="D40" s="108">
        <v>0</v>
      </c>
      <c r="E40" s="104">
        <f t="shared" si="12"/>
        <v>0</v>
      </c>
      <c r="F40" s="104">
        <f>Summary!O55</f>
        <v>0</v>
      </c>
      <c r="G40" s="108">
        <v>0</v>
      </c>
      <c r="H40" s="59" t="s">
        <v>189</v>
      </c>
      <c r="I40" s="108">
        <v>0</v>
      </c>
      <c r="J40" s="104">
        <f t="shared" si="13"/>
        <v>0</v>
      </c>
      <c r="K40" s="104">
        <f t="shared" si="14"/>
        <v>0</v>
      </c>
      <c r="L40" s="104">
        <f t="shared" si="14"/>
        <v>0</v>
      </c>
      <c r="M40" s="104" t="s">
        <v>189</v>
      </c>
      <c r="N40" s="108">
        <v>0.1</v>
      </c>
      <c r="O40" s="104">
        <f t="shared" si="15"/>
        <v>14364</v>
      </c>
      <c r="P40" s="104">
        <f t="shared" si="17"/>
        <v>71820</v>
      </c>
      <c r="Q40" s="110">
        <f t="shared" si="18"/>
        <v>0.5</v>
      </c>
      <c r="R40" s="129">
        <f t="shared" si="16"/>
        <v>71820</v>
      </c>
    </row>
    <row r="41" spans="1:18" ht="12.75">
      <c r="A41" s="59">
        <v>2014</v>
      </c>
      <c r="B41" s="104">
        <v>143640</v>
      </c>
      <c r="C41" s="120">
        <f t="shared" si="19"/>
        <v>0.16024882970605428</v>
      </c>
      <c r="D41" s="108">
        <v>0</v>
      </c>
      <c r="E41" s="104">
        <f t="shared" si="12"/>
        <v>0</v>
      </c>
      <c r="F41" s="104">
        <f>Summary!P55</f>
        <v>0</v>
      </c>
      <c r="G41" s="108">
        <v>0</v>
      </c>
      <c r="H41" s="59" t="s">
        <v>189</v>
      </c>
      <c r="I41" s="108">
        <v>0</v>
      </c>
      <c r="J41" s="104">
        <f t="shared" si="13"/>
        <v>0</v>
      </c>
      <c r="K41" s="104">
        <f t="shared" si="14"/>
        <v>0</v>
      </c>
      <c r="L41" s="104">
        <f t="shared" si="14"/>
        <v>0</v>
      </c>
      <c r="M41" s="104" t="s">
        <v>189</v>
      </c>
      <c r="N41" s="108">
        <v>0.1</v>
      </c>
      <c r="O41" s="104">
        <f t="shared" si="15"/>
        <v>14364</v>
      </c>
      <c r="P41" s="104">
        <f t="shared" si="17"/>
        <v>71820</v>
      </c>
      <c r="Q41" s="110">
        <f t="shared" si="18"/>
        <v>0.5</v>
      </c>
      <c r="R41" s="129">
        <f t="shared" si="16"/>
        <v>71820</v>
      </c>
    </row>
    <row r="42" spans="1:18" ht="12.75">
      <c r="A42" s="59">
        <v>2015</v>
      </c>
      <c r="B42" s="104">
        <v>143640</v>
      </c>
      <c r="C42" s="120">
        <f t="shared" si="19"/>
        <v>0.16024882970605428</v>
      </c>
      <c r="D42" s="108">
        <v>0</v>
      </c>
      <c r="E42" s="104">
        <f t="shared" si="12"/>
        <v>0</v>
      </c>
      <c r="F42" s="104">
        <f>Summary!Q55</f>
        <v>0</v>
      </c>
      <c r="G42" s="108">
        <v>0</v>
      </c>
      <c r="H42" s="59" t="s">
        <v>189</v>
      </c>
      <c r="I42" s="108">
        <v>0</v>
      </c>
      <c r="J42" s="104">
        <f t="shared" si="13"/>
        <v>0</v>
      </c>
      <c r="K42" s="104">
        <f t="shared" si="14"/>
        <v>0</v>
      </c>
      <c r="L42" s="104">
        <f t="shared" si="14"/>
        <v>0</v>
      </c>
      <c r="M42" s="104" t="s">
        <v>189</v>
      </c>
      <c r="N42" s="108">
        <v>0.1</v>
      </c>
      <c r="O42" s="104">
        <f t="shared" si="15"/>
        <v>14364</v>
      </c>
      <c r="P42" s="104">
        <f t="shared" si="17"/>
        <v>71820</v>
      </c>
      <c r="Q42" s="110">
        <f t="shared" si="18"/>
        <v>0.5</v>
      </c>
      <c r="R42" s="129">
        <f t="shared" si="16"/>
        <v>71820</v>
      </c>
    </row>
    <row r="43" spans="1:18" ht="12.75">
      <c r="A43" s="59">
        <v>2016</v>
      </c>
      <c r="B43" s="104">
        <v>143640</v>
      </c>
      <c r="C43" s="120">
        <f t="shared" si="19"/>
        <v>0.16024882970605428</v>
      </c>
      <c r="D43" s="108">
        <v>0</v>
      </c>
      <c r="E43" s="104">
        <f t="shared" si="12"/>
        <v>0</v>
      </c>
      <c r="F43" s="104">
        <f>Summary!R55</f>
        <v>0</v>
      </c>
      <c r="G43" s="108">
        <v>0</v>
      </c>
      <c r="H43" s="59" t="s">
        <v>189</v>
      </c>
      <c r="I43" s="108">
        <v>0</v>
      </c>
      <c r="J43" s="104">
        <f t="shared" si="13"/>
        <v>0</v>
      </c>
      <c r="K43" s="104">
        <f t="shared" si="14"/>
        <v>0</v>
      </c>
      <c r="L43" s="104">
        <f t="shared" si="14"/>
        <v>0</v>
      </c>
      <c r="M43" s="104" t="s">
        <v>189</v>
      </c>
      <c r="N43" s="108">
        <v>0.1</v>
      </c>
      <c r="O43" s="104">
        <f t="shared" si="15"/>
        <v>14364</v>
      </c>
      <c r="P43" s="104">
        <f t="shared" si="17"/>
        <v>71820</v>
      </c>
      <c r="Q43" s="110">
        <f t="shared" si="18"/>
        <v>0.5</v>
      </c>
      <c r="R43" s="129">
        <f t="shared" si="16"/>
        <v>71820</v>
      </c>
    </row>
    <row r="44" spans="1:18" ht="12.75">
      <c r="A44" s="59">
        <v>2017</v>
      </c>
      <c r="B44" s="104">
        <v>143640</v>
      </c>
      <c r="C44" s="120">
        <f t="shared" si="19"/>
        <v>0.16024882970605428</v>
      </c>
      <c r="D44" s="108">
        <v>0</v>
      </c>
      <c r="E44" s="104">
        <f t="shared" si="12"/>
        <v>0</v>
      </c>
      <c r="F44" s="104">
        <f>Summary!S55</f>
        <v>0</v>
      </c>
      <c r="G44" s="108">
        <v>0</v>
      </c>
      <c r="H44" s="59" t="s">
        <v>189</v>
      </c>
      <c r="I44" s="108">
        <v>0</v>
      </c>
      <c r="J44" s="104">
        <f t="shared" si="13"/>
        <v>0</v>
      </c>
      <c r="K44" s="104">
        <f t="shared" si="14"/>
        <v>0</v>
      </c>
      <c r="L44" s="104">
        <f t="shared" si="14"/>
        <v>0</v>
      </c>
      <c r="M44" s="104" t="s">
        <v>189</v>
      </c>
      <c r="N44" s="108">
        <v>0.1</v>
      </c>
      <c r="O44" s="104">
        <f t="shared" si="15"/>
        <v>14364</v>
      </c>
      <c r="P44" s="104">
        <f t="shared" si="17"/>
        <v>71820</v>
      </c>
      <c r="Q44" s="110">
        <f t="shared" si="18"/>
        <v>0.5</v>
      </c>
      <c r="R44" s="129">
        <f t="shared" si="16"/>
        <v>71820</v>
      </c>
    </row>
    <row r="45" spans="1:18" ht="12.75">
      <c r="A45" s="59">
        <v>2018</v>
      </c>
      <c r="B45" s="104">
        <v>143640</v>
      </c>
      <c r="C45" s="120">
        <f t="shared" si="19"/>
        <v>0.16024882970605428</v>
      </c>
      <c r="D45" s="108">
        <v>0</v>
      </c>
      <c r="E45" s="104">
        <f t="shared" si="12"/>
        <v>0</v>
      </c>
      <c r="F45" s="104">
        <f>Summary!T55</f>
        <v>0</v>
      </c>
      <c r="G45" s="108">
        <v>0</v>
      </c>
      <c r="H45" s="59" t="s">
        <v>189</v>
      </c>
      <c r="I45" s="108">
        <v>0</v>
      </c>
      <c r="J45" s="104">
        <f t="shared" si="13"/>
        <v>0</v>
      </c>
      <c r="K45" s="104">
        <f t="shared" si="14"/>
        <v>0</v>
      </c>
      <c r="L45" s="104">
        <f t="shared" si="14"/>
        <v>0</v>
      </c>
      <c r="M45" s="104" t="s">
        <v>189</v>
      </c>
      <c r="N45" s="108">
        <v>0.1</v>
      </c>
      <c r="O45" s="104">
        <f t="shared" si="15"/>
        <v>14364</v>
      </c>
      <c r="P45" s="104">
        <f t="shared" si="17"/>
        <v>71820</v>
      </c>
      <c r="Q45" s="110">
        <f t="shared" si="18"/>
        <v>0.5</v>
      </c>
      <c r="R45" s="129">
        <f t="shared" si="16"/>
        <v>71820</v>
      </c>
    </row>
    <row r="46" spans="1:18" ht="12.75">
      <c r="A46" s="59">
        <v>2019</v>
      </c>
      <c r="B46" s="104">
        <v>143640</v>
      </c>
      <c r="C46" s="120">
        <f t="shared" si="19"/>
        <v>0.16024882970605428</v>
      </c>
      <c r="D46" s="108">
        <v>0</v>
      </c>
      <c r="E46" s="104">
        <f t="shared" si="12"/>
        <v>0</v>
      </c>
      <c r="F46" s="104">
        <f>Summary!U55</f>
        <v>0</v>
      </c>
      <c r="G46" s="108">
        <v>0</v>
      </c>
      <c r="H46" s="59" t="s">
        <v>189</v>
      </c>
      <c r="I46" s="108">
        <v>0</v>
      </c>
      <c r="J46" s="104">
        <f t="shared" si="13"/>
        <v>0</v>
      </c>
      <c r="K46" s="104">
        <f t="shared" si="14"/>
        <v>0</v>
      </c>
      <c r="L46" s="104">
        <f t="shared" si="14"/>
        <v>0</v>
      </c>
      <c r="M46" s="104" t="s">
        <v>189</v>
      </c>
      <c r="N46" s="108">
        <v>0.1</v>
      </c>
      <c r="O46" s="104">
        <f t="shared" si="15"/>
        <v>14364</v>
      </c>
      <c r="P46" s="104">
        <f t="shared" si="17"/>
        <v>71820</v>
      </c>
      <c r="Q46" s="110">
        <f t="shared" si="18"/>
        <v>0.5</v>
      </c>
      <c r="R46" s="129">
        <f t="shared" si="16"/>
        <v>71820</v>
      </c>
    </row>
    <row r="47" spans="1:18" ht="12.75">
      <c r="A47" s="59">
        <v>2020</v>
      </c>
      <c r="B47" s="104">
        <v>143640</v>
      </c>
      <c r="C47" s="120">
        <f t="shared" si="19"/>
        <v>0.16024882970605428</v>
      </c>
      <c r="D47" s="108">
        <v>0</v>
      </c>
      <c r="E47" s="104">
        <f t="shared" si="12"/>
        <v>0</v>
      </c>
      <c r="F47" s="104">
        <f>Summary!V55</f>
        <v>0</v>
      </c>
      <c r="G47" s="108">
        <v>0</v>
      </c>
      <c r="H47" s="59" t="s">
        <v>189</v>
      </c>
      <c r="I47" s="108">
        <v>0</v>
      </c>
      <c r="J47" s="104">
        <f t="shared" si="13"/>
        <v>0</v>
      </c>
      <c r="K47" s="104">
        <f t="shared" si="14"/>
        <v>0</v>
      </c>
      <c r="L47" s="104">
        <f t="shared" si="14"/>
        <v>0</v>
      </c>
      <c r="M47" s="104" t="s">
        <v>189</v>
      </c>
      <c r="N47" s="108">
        <v>0.1</v>
      </c>
      <c r="O47" s="104">
        <f t="shared" si="15"/>
        <v>14364</v>
      </c>
      <c r="P47" s="104">
        <f t="shared" si="17"/>
        <v>71820</v>
      </c>
      <c r="Q47" s="110">
        <f t="shared" si="18"/>
        <v>0.5</v>
      </c>
      <c r="R47" s="129">
        <f t="shared" si="16"/>
        <v>71820</v>
      </c>
    </row>
    <row r="48" spans="2:18" ht="12.75">
      <c r="B48" s="33"/>
      <c r="D48" s="102"/>
      <c r="E48" s="33"/>
      <c r="F48" s="33"/>
      <c r="G48" s="33"/>
      <c r="I48" s="102"/>
      <c r="J48" s="33"/>
      <c r="K48" s="33"/>
      <c r="L48" s="33"/>
      <c r="M48" s="33"/>
      <c r="N48" s="112"/>
      <c r="O48" s="113"/>
      <c r="P48" s="113"/>
      <c r="Q48" s="111"/>
      <c r="R48" t="s">
        <v>40</v>
      </c>
    </row>
    <row r="49" spans="1:17" ht="12.75">
      <c r="A49" s="48" t="s">
        <v>176</v>
      </c>
      <c r="N49" s="111"/>
      <c r="O49" s="111"/>
      <c r="P49" s="111"/>
      <c r="Q49" s="111"/>
    </row>
    <row r="50" spans="1:18" ht="12.75" customHeight="1">
      <c r="A50" s="150" t="s">
        <v>43</v>
      </c>
      <c r="B50" s="150" t="s">
        <v>171</v>
      </c>
      <c r="D50" s="166" t="s">
        <v>47</v>
      </c>
      <c r="E50" s="167"/>
      <c r="F50" s="167"/>
      <c r="G50" s="167"/>
      <c r="H50" s="168"/>
      <c r="I50" s="166" t="s">
        <v>100</v>
      </c>
      <c r="J50" s="167"/>
      <c r="K50" s="167"/>
      <c r="L50" s="167"/>
      <c r="M50" s="168"/>
      <c r="N50" s="166" t="s">
        <v>91</v>
      </c>
      <c r="O50" s="167"/>
      <c r="P50" s="167"/>
      <c r="Q50" s="167"/>
      <c r="R50" s="168"/>
    </row>
    <row r="51" spans="1:18" ht="12.75" customHeight="1">
      <c r="A51" s="150"/>
      <c r="B51" s="150"/>
      <c r="D51" s="145" t="s">
        <v>172</v>
      </c>
      <c r="E51" s="145" t="s">
        <v>94</v>
      </c>
      <c r="F51" s="145" t="s">
        <v>173</v>
      </c>
      <c r="G51" s="176" t="s">
        <v>182</v>
      </c>
      <c r="H51" s="172" t="s">
        <v>197</v>
      </c>
      <c r="I51" s="145" t="s">
        <v>172</v>
      </c>
      <c r="J51" s="172" t="s">
        <v>94</v>
      </c>
      <c r="K51" s="172" t="s">
        <v>181</v>
      </c>
      <c r="L51" s="179" t="s">
        <v>182</v>
      </c>
      <c r="M51" s="144" t="s">
        <v>197</v>
      </c>
      <c r="N51" s="144" t="s">
        <v>172</v>
      </c>
      <c r="O51" s="144" t="s">
        <v>94</v>
      </c>
      <c r="P51" s="144" t="s">
        <v>173</v>
      </c>
      <c r="Q51" s="175" t="s">
        <v>182</v>
      </c>
      <c r="R51" s="144" t="s">
        <v>197</v>
      </c>
    </row>
    <row r="52" spans="1:18" ht="12.75">
      <c r="A52" s="150"/>
      <c r="B52" s="150"/>
      <c r="D52" s="143"/>
      <c r="E52" s="143"/>
      <c r="F52" s="143"/>
      <c r="G52" s="143"/>
      <c r="H52" s="145"/>
      <c r="I52" s="143"/>
      <c r="J52" s="145"/>
      <c r="K52" s="145"/>
      <c r="L52" s="176"/>
      <c r="M52" s="172"/>
      <c r="N52" s="145"/>
      <c r="O52" s="145"/>
      <c r="P52" s="145"/>
      <c r="Q52" s="176"/>
      <c r="R52" s="145"/>
    </row>
    <row r="53" spans="1:18" ht="12.75" customHeight="1">
      <c r="A53" s="59">
        <v>2003</v>
      </c>
      <c r="B53" s="104">
        <f aca="true" t="shared" si="20" ref="B53:B70">+B30+B5</f>
        <v>0</v>
      </c>
      <c r="D53" s="103" t="s">
        <v>107</v>
      </c>
      <c r="E53" s="104">
        <f aca="true" t="shared" si="21" ref="E53:F70">+E30+E5</f>
        <v>0</v>
      </c>
      <c r="F53" s="104">
        <f t="shared" si="21"/>
        <v>0</v>
      </c>
      <c r="G53" s="119">
        <v>0</v>
      </c>
      <c r="H53" s="59">
        <f>G53*B53</f>
        <v>0</v>
      </c>
      <c r="I53" s="103" t="s">
        <v>107</v>
      </c>
      <c r="J53" s="104">
        <f aca="true" t="shared" si="22" ref="J53:K70">+J30+K5</f>
        <v>0</v>
      </c>
      <c r="K53" s="104">
        <f t="shared" si="22"/>
        <v>0</v>
      </c>
      <c r="L53" s="119">
        <f>M5*C5</f>
        <v>0</v>
      </c>
      <c r="M53" s="59">
        <f>L53*B53</f>
        <v>0</v>
      </c>
      <c r="N53" s="103" t="s">
        <v>107</v>
      </c>
      <c r="O53" s="104">
        <f aca="true" t="shared" si="23" ref="O53:P70">+O30+P5</f>
        <v>0</v>
      </c>
      <c r="P53" s="104">
        <f t="shared" si="23"/>
        <v>0</v>
      </c>
      <c r="Q53" s="119">
        <f>R5*C5+Q30*C30</f>
        <v>0</v>
      </c>
      <c r="R53" s="59">
        <f>Q53*B53</f>
        <v>0</v>
      </c>
    </row>
    <row r="54" spans="1:18" ht="12.75">
      <c r="A54" s="59">
        <v>2004</v>
      </c>
      <c r="B54" s="104">
        <f t="shared" si="20"/>
        <v>0</v>
      </c>
      <c r="D54" s="103" t="s">
        <v>107</v>
      </c>
      <c r="E54" s="104">
        <f t="shared" si="21"/>
        <v>0</v>
      </c>
      <c r="F54" s="104">
        <f t="shared" si="21"/>
        <v>0</v>
      </c>
      <c r="G54" s="119">
        <v>0</v>
      </c>
      <c r="H54" s="59">
        <f aca="true" t="shared" si="24" ref="H54:H70">G54*B54</f>
        <v>0</v>
      </c>
      <c r="I54" s="103" t="s">
        <v>107</v>
      </c>
      <c r="J54" s="104">
        <f t="shared" si="22"/>
        <v>0</v>
      </c>
      <c r="K54" s="104">
        <f t="shared" si="22"/>
        <v>0</v>
      </c>
      <c r="L54" s="119">
        <f aca="true" t="shared" si="25" ref="L54:L70">M6*C6</f>
        <v>0</v>
      </c>
      <c r="M54" s="59">
        <f aca="true" t="shared" si="26" ref="M54:M70">L54*B54</f>
        <v>0</v>
      </c>
      <c r="N54" s="103" t="s">
        <v>107</v>
      </c>
      <c r="O54" s="104">
        <f t="shared" si="23"/>
        <v>0</v>
      </c>
      <c r="P54" s="104">
        <f t="shared" si="23"/>
        <v>0</v>
      </c>
      <c r="Q54" s="119">
        <f aca="true" t="shared" si="27" ref="Q54:Q70">R6*C6+Q31*C31</f>
        <v>0</v>
      </c>
      <c r="R54" s="59">
        <f aca="true" t="shared" si="28" ref="R54:R70">Q54*B54</f>
        <v>0</v>
      </c>
    </row>
    <row r="55" spans="1:18" ht="12.75">
      <c r="A55" s="59">
        <v>2005</v>
      </c>
      <c r="B55" s="104">
        <f t="shared" si="20"/>
        <v>0</v>
      </c>
      <c r="D55" s="103" t="s">
        <v>107</v>
      </c>
      <c r="E55" s="104">
        <f t="shared" si="21"/>
        <v>0</v>
      </c>
      <c r="F55" s="104">
        <f t="shared" si="21"/>
        <v>0</v>
      </c>
      <c r="G55" s="119">
        <v>0</v>
      </c>
      <c r="H55" s="59">
        <f t="shared" si="24"/>
        <v>0</v>
      </c>
      <c r="I55" s="103" t="s">
        <v>107</v>
      </c>
      <c r="J55" s="104">
        <f t="shared" si="22"/>
        <v>0</v>
      </c>
      <c r="K55" s="104">
        <f t="shared" si="22"/>
        <v>0</v>
      </c>
      <c r="L55" s="119">
        <f t="shared" si="25"/>
        <v>0</v>
      </c>
      <c r="M55" s="59">
        <f t="shared" si="26"/>
        <v>0</v>
      </c>
      <c r="N55" s="103" t="s">
        <v>107</v>
      </c>
      <c r="O55" s="104">
        <f t="shared" si="23"/>
        <v>0</v>
      </c>
      <c r="P55" s="104">
        <f t="shared" si="23"/>
        <v>0</v>
      </c>
      <c r="Q55" s="119">
        <f t="shared" si="27"/>
        <v>0</v>
      </c>
      <c r="R55" s="59">
        <f t="shared" si="28"/>
        <v>0</v>
      </c>
    </row>
    <row r="56" spans="1:18" ht="12.75">
      <c r="A56" s="59">
        <v>2006</v>
      </c>
      <c r="B56" s="104">
        <f t="shared" si="20"/>
        <v>0</v>
      </c>
      <c r="D56" s="103" t="s">
        <v>107</v>
      </c>
      <c r="E56" s="104">
        <f t="shared" si="21"/>
        <v>0</v>
      </c>
      <c r="F56" s="104">
        <f t="shared" si="21"/>
        <v>0</v>
      </c>
      <c r="G56" s="119">
        <v>0</v>
      </c>
      <c r="H56" s="59">
        <f t="shared" si="24"/>
        <v>0</v>
      </c>
      <c r="I56" s="103" t="s">
        <v>107</v>
      </c>
      <c r="J56" s="104">
        <f t="shared" si="22"/>
        <v>0</v>
      </c>
      <c r="K56" s="104">
        <f t="shared" si="22"/>
        <v>0</v>
      </c>
      <c r="L56" s="119">
        <f t="shared" si="25"/>
        <v>0</v>
      </c>
      <c r="M56" s="59">
        <f t="shared" si="26"/>
        <v>0</v>
      </c>
      <c r="N56" s="103" t="s">
        <v>107</v>
      </c>
      <c r="O56" s="104">
        <f t="shared" si="23"/>
        <v>0</v>
      </c>
      <c r="P56" s="104">
        <f t="shared" si="23"/>
        <v>0</v>
      </c>
      <c r="Q56" s="119">
        <f t="shared" si="27"/>
        <v>0</v>
      </c>
      <c r="R56" s="59">
        <f t="shared" si="28"/>
        <v>0</v>
      </c>
    </row>
    <row r="57" spans="1:18" ht="12.75">
      <c r="A57" s="59">
        <v>2007</v>
      </c>
      <c r="B57" s="104">
        <f t="shared" si="20"/>
        <v>152380.52000000002</v>
      </c>
      <c r="D57" s="103" t="s">
        <v>107</v>
      </c>
      <c r="E57" s="104">
        <f t="shared" si="21"/>
        <v>2559.2344000000003</v>
      </c>
      <c r="F57" s="104">
        <f t="shared" si="21"/>
        <v>748.3450782952438</v>
      </c>
      <c r="G57" s="119">
        <f>H9*C9</f>
        <v>0.0008348748469305095</v>
      </c>
      <c r="H57" s="104">
        <f t="shared" si="24"/>
        <v>127.21866331019146</v>
      </c>
      <c r="I57" s="103" t="s">
        <v>107</v>
      </c>
      <c r="J57" s="104">
        <f t="shared" si="22"/>
        <v>2559.2344000000003</v>
      </c>
      <c r="K57" s="104">
        <f t="shared" si="22"/>
        <v>4549.750044444445</v>
      </c>
      <c r="L57" s="119">
        <f>M9*C9/0.17</f>
        <v>0.02985781938822918</v>
      </c>
      <c r="M57" s="104">
        <f>L57*B57</f>
        <v>4549.750044444445</v>
      </c>
      <c r="N57" s="103" t="s">
        <v>107</v>
      </c>
      <c r="O57" s="104">
        <f t="shared" si="23"/>
        <v>10119.583200000001</v>
      </c>
      <c r="P57" s="104">
        <f t="shared" si="23"/>
        <v>50597.916000000005</v>
      </c>
      <c r="Q57" s="119">
        <f>(R9*C9+Q34*C34)/0.17</f>
        <v>0.33204976594121083</v>
      </c>
      <c r="R57" s="104">
        <f t="shared" si="28"/>
        <v>50597.916000000005</v>
      </c>
    </row>
    <row r="58" spans="1:18" ht="12.75">
      <c r="A58" s="59">
        <v>2008</v>
      </c>
      <c r="B58" s="104">
        <f t="shared" si="20"/>
        <v>304761.04000000004</v>
      </c>
      <c r="D58" s="103" t="s">
        <v>107</v>
      </c>
      <c r="E58" s="104">
        <f t="shared" si="21"/>
        <v>5118.468800000001</v>
      </c>
      <c r="F58" s="104">
        <f t="shared" si="21"/>
        <v>1489.0004422309223</v>
      </c>
      <c r="G58" s="119">
        <f aca="true" t="shared" si="29" ref="G58:G70">H10*C10</f>
        <v>0.0016611708319361083</v>
      </c>
      <c r="H58" s="104">
        <f t="shared" si="24"/>
        <v>506.26015035851367</v>
      </c>
      <c r="I58" s="103" t="s">
        <v>107</v>
      </c>
      <c r="J58" s="104">
        <f t="shared" si="22"/>
        <v>5118.468800000001</v>
      </c>
      <c r="K58" s="104">
        <f t="shared" si="22"/>
        <v>9099.50008888889</v>
      </c>
      <c r="L58" s="119">
        <f>M10*C10/0.34</f>
        <v>0.02985781938822918</v>
      </c>
      <c r="M58" s="104">
        <f t="shared" si="26"/>
        <v>9099.50008888889</v>
      </c>
      <c r="N58" s="103" t="s">
        <v>107</v>
      </c>
      <c r="O58" s="104">
        <f t="shared" si="23"/>
        <v>20239.166400000002</v>
      </c>
      <c r="P58" s="104">
        <f t="shared" si="23"/>
        <v>101195.83200000001</v>
      </c>
      <c r="Q58" s="119">
        <f>(R10*C10+Q35*C35)/0.34</f>
        <v>0.33204976594121083</v>
      </c>
      <c r="R58" s="104">
        <f t="shared" si="28"/>
        <v>101195.83200000001</v>
      </c>
    </row>
    <row r="59" spans="1:18" ht="12.75">
      <c r="A59" s="59">
        <v>2009</v>
      </c>
      <c r="B59" s="104">
        <f t="shared" si="20"/>
        <v>457141.56000000006</v>
      </c>
      <c r="D59" s="103" t="s">
        <v>107</v>
      </c>
      <c r="E59" s="104">
        <f t="shared" si="21"/>
        <v>9597.129</v>
      </c>
      <c r="F59" s="104">
        <f t="shared" si="21"/>
        <v>2917.007207613422</v>
      </c>
      <c r="G59" s="119">
        <f t="shared" si="29"/>
        <v>0.003254295400056921</v>
      </c>
      <c r="H59" s="104">
        <f t="shared" si="24"/>
        <v>1487.6736758828451</v>
      </c>
      <c r="I59" s="103" t="s">
        <v>107</v>
      </c>
      <c r="J59" s="104">
        <f t="shared" si="22"/>
        <v>9597.129</v>
      </c>
      <c r="K59" s="104">
        <f t="shared" si="22"/>
        <v>17061.56266666667</v>
      </c>
      <c r="L59" s="119">
        <f>M11*C11/0.51</f>
        <v>0.03732227423528647</v>
      </c>
      <c r="M59" s="104">
        <f t="shared" si="26"/>
        <v>17061.56266666667</v>
      </c>
      <c r="N59" s="103" t="s">
        <v>107</v>
      </c>
      <c r="O59" s="104">
        <f t="shared" si="23"/>
        <v>30358.7496</v>
      </c>
      <c r="P59" s="104">
        <f t="shared" si="23"/>
        <v>151793.748</v>
      </c>
      <c r="Q59" s="119">
        <f>(R11*C11+Q36*C36)/0.51</f>
        <v>0.33204976594121083</v>
      </c>
      <c r="R59" s="104">
        <f t="shared" si="28"/>
        <v>151793.748</v>
      </c>
    </row>
    <row r="60" spans="1:18" ht="12.75">
      <c r="A60" s="59">
        <v>2010</v>
      </c>
      <c r="B60" s="104">
        <f t="shared" si="20"/>
        <v>609522.0800000001</v>
      </c>
      <c r="D60" s="103" t="s">
        <v>107</v>
      </c>
      <c r="E60" s="104">
        <f t="shared" si="21"/>
        <v>12796.172000000002</v>
      </c>
      <c r="F60" s="104">
        <f t="shared" si="21"/>
        <v>3976.377056357366</v>
      </c>
      <c r="G60" s="119">
        <f t="shared" si="29"/>
        <v>0.004436158241097696</v>
      </c>
      <c r="H60" s="104">
        <f t="shared" si="24"/>
        <v>2703.936398323009</v>
      </c>
      <c r="I60" s="103" t="s">
        <v>107</v>
      </c>
      <c r="J60" s="104">
        <f t="shared" si="22"/>
        <v>12796.172000000002</v>
      </c>
      <c r="K60" s="104">
        <f t="shared" si="22"/>
        <v>22748.750222222225</v>
      </c>
      <c r="L60" s="119">
        <f>M12*C12/0.68</f>
        <v>0.03732227423528647</v>
      </c>
      <c r="M60" s="104">
        <f t="shared" si="26"/>
        <v>22748.750222222225</v>
      </c>
      <c r="N60" s="103" t="s">
        <v>107</v>
      </c>
      <c r="O60" s="104">
        <f t="shared" si="23"/>
        <v>40478.332800000004</v>
      </c>
      <c r="P60" s="104">
        <f t="shared" si="23"/>
        <v>202391.66400000002</v>
      </c>
      <c r="Q60" s="119">
        <f>(R12*C12+Q37*C37)/0.68</f>
        <v>0.33204976594121083</v>
      </c>
      <c r="R60" s="104">
        <f t="shared" si="28"/>
        <v>202391.66400000002</v>
      </c>
    </row>
    <row r="61" spans="1:18" ht="12.75">
      <c r="A61" s="59">
        <v>2011</v>
      </c>
      <c r="B61" s="104">
        <f t="shared" si="20"/>
        <v>761902.6</v>
      </c>
      <c r="D61" s="103" t="s">
        <v>107</v>
      </c>
      <c r="E61" s="104">
        <f t="shared" si="21"/>
        <v>15995.215</v>
      </c>
      <c r="F61" s="104">
        <f t="shared" si="21"/>
        <v>4985.8556838123295</v>
      </c>
      <c r="G61" s="119">
        <f t="shared" si="29"/>
        <v>0.005562361030452555</v>
      </c>
      <c r="H61" s="104">
        <f t="shared" si="24"/>
        <v>4237.97733124048</v>
      </c>
      <c r="I61" s="103" t="s">
        <v>107</v>
      </c>
      <c r="J61" s="104">
        <f t="shared" si="22"/>
        <v>15995.215</v>
      </c>
      <c r="K61" s="104">
        <f t="shared" si="22"/>
        <v>28435.937777777777</v>
      </c>
      <c r="L61" s="119">
        <f>M13*C13/0.81</f>
        <v>0.039165349506164814</v>
      </c>
      <c r="M61" s="104">
        <f t="shared" si="26"/>
        <v>29840.181618655686</v>
      </c>
      <c r="N61" s="103" t="s">
        <v>107</v>
      </c>
      <c r="O61" s="104">
        <f t="shared" si="23"/>
        <v>50597.916</v>
      </c>
      <c r="P61" s="104">
        <f t="shared" si="23"/>
        <v>252989.57999999996</v>
      </c>
      <c r="Q61" s="119">
        <f>(R13*C13+Q38*C38)/0.81</f>
        <v>0.3484472852469496</v>
      </c>
      <c r="R61" s="104">
        <f t="shared" si="28"/>
        <v>265482.8925925926</v>
      </c>
    </row>
    <row r="62" spans="1:18" ht="12.75">
      <c r="A62" s="59">
        <v>2012</v>
      </c>
      <c r="B62" s="104">
        <f t="shared" si="20"/>
        <v>896356</v>
      </c>
      <c r="D62" s="103" t="s">
        <v>107</v>
      </c>
      <c r="E62" s="104">
        <f t="shared" si="21"/>
        <v>22581.48</v>
      </c>
      <c r="F62" s="104">
        <f t="shared" si="21"/>
        <v>7620.50855132832</v>
      </c>
      <c r="G62" s="119">
        <f t="shared" si="29"/>
        <v>0.008501653976018814</v>
      </c>
      <c r="H62" s="104">
        <f t="shared" si="24"/>
        <v>7620.50855132832</v>
      </c>
      <c r="I62" s="103" t="s">
        <v>107</v>
      </c>
      <c r="J62" s="104">
        <f t="shared" si="22"/>
        <v>22581.48</v>
      </c>
      <c r="K62" s="104">
        <f t="shared" si="22"/>
        <v>40144.85333333333</v>
      </c>
      <c r="L62" s="119">
        <f>M14*C14</f>
        <v>0.04478672908234377</v>
      </c>
      <c r="M62" s="104">
        <f t="shared" si="26"/>
        <v>40144.85333333333</v>
      </c>
      <c r="N62" s="103" t="s">
        <v>107</v>
      </c>
      <c r="O62" s="104">
        <f t="shared" si="23"/>
        <v>59526.96</v>
      </c>
      <c r="P62" s="104">
        <f t="shared" si="23"/>
        <v>297634.8</v>
      </c>
      <c r="Q62" s="119">
        <f t="shared" si="27"/>
        <v>0.33204976594121083</v>
      </c>
      <c r="R62" s="104">
        <f t="shared" si="28"/>
        <v>297634.8</v>
      </c>
    </row>
    <row r="63" spans="1:18" ht="12.75">
      <c r="A63" s="59">
        <v>2013</v>
      </c>
      <c r="B63" s="104">
        <f t="shared" si="20"/>
        <v>896356</v>
      </c>
      <c r="D63" s="103" t="s">
        <v>107</v>
      </c>
      <c r="E63" s="104">
        <f t="shared" si="21"/>
        <v>22581.48</v>
      </c>
      <c r="F63" s="104">
        <f t="shared" si="21"/>
        <v>7620.50855132832</v>
      </c>
      <c r="G63" s="119">
        <f t="shared" si="29"/>
        <v>0.008501653976018814</v>
      </c>
      <c r="H63" s="104">
        <f t="shared" si="24"/>
        <v>7620.50855132832</v>
      </c>
      <c r="I63" s="103" t="s">
        <v>107</v>
      </c>
      <c r="J63" s="104">
        <f t="shared" si="22"/>
        <v>22581.48</v>
      </c>
      <c r="K63" s="104">
        <f t="shared" si="22"/>
        <v>40144.85333333333</v>
      </c>
      <c r="L63" s="119">
        <f t="shared" si="25"/>
        <v>0.04478672908234377</v>
      </c>
      <c r="M63" s="104">
        <f t="shared" si="26"/>
        <v>40144.85333333333</v>
      </c>
      <c r="N63" s="103" t="s">
        <v>107</v>
      </c>
      <c r="O63" s="104">
        <f t="shared" si="23"/>
        <v>59526.96</v>
      </c>
      <c r="P63" s="104">
        <f t="shared" si="23"/>
        <v>297634.8</v>
      </c>
      <c r="Q63" s="119">
        <f t="shared" si="27"/>
        <v>0.33204976594121083</v>
      </c>
      <c r="R63" s="104">
        <f t="shared" si="28"/>
        <v>297634.8</v>
      </c>
    </row>
    <row r="64" spans="1:18" ht="12.75">
      <c r="A64" s="59">
        <v>2014</v>
      </c>
      <c r="B64" s="104">
        <f t="shared" si="20"/>
        <v>896356</v>
      </c>
      <c r="D64" s="103" t="s">
        <v>107</v>
      </c>
      <c r="E64" s="104">
        <f t="shared" si="21"/>
        <v>22581.48</v>
      </c>
      <c r="F64" s="104">
        <f t="shared" si="21"/>
        <v>7620.50855132832</v>
      </c>
      <c r="G64" s="119">
        <f t="shared" si="29"/>
        <v>0.008501653976018814</v>
      </c>
      <c r="H64" s="104">
        <f t="shared" si="24"/>
        <v>7620.50855132832</v>
      </c>
      <c r="I64" s="103" t="s">
        <v>107</v>
      </c>
      <c r="J64" s="104">
        <f t="shared" si="22"/>
        <v>22581.48</v>
      </c>
      <c r="K64" s="104">
        <f t="shared" si="22"/>
        <v>40144.85333333333</v>
      </c>
      <c r="L64" s="119">
        <f t="shared" si="25"/>
        <v>0.04478672908234377</v>
      </c>
      <c r="M64" s="104">
        <f t="shared" si="26"/>
        <v>40144.85333333333</v>
      </c>
      <c r="N64" s="103" t="s">
        <v>107</v>
      </c>
      <c r="O64" s="104">
        <f t="shared" si="23"/>
        <v>59526.96</v>
      </c>
      <c r="P64" s="104">
        <f t="shared" si="23"/>
        <v>297634.8</v>
      </c>
      <c r="Q64" s="119">
        <f t="shared" si="27"/>
        <v>0.33204976594121083</v>
      </c>
      <c r="R64" s="104">
        <f t="shared" si="28"/>
        <v>297634.8</v>
      </c>
    </row>
    <row r="65" spans="1:18" ht="12.75">
      <c r="A65" s="59">
        <v>2015</v>
      </c>
      <c r="B65" s="104">
        <f t="shared" si="20"/>
        <v>896356</v>
      </c>
      <c r="D65" s="103" t="s">
        <v>107</v>
      </c>
      <c r="E65" s="104">
        <f t="shared" si="21"/>
        <v>30108.64</v>
      </c>
      <c r="F65" s="104">
        <f t="shared" si="21"/>
        <v>10160.678068437759</v>
      </c>
      <c r="G65" s="119">
        <f t="shared" si="29"/>
        <v>0.011335538634691751</v>
      </c>
      <c r="H65" s="104">
        <f t="shared" si="24"/>
        <v>10160.678068437759</v>
      </c>
      <c r="I65" s="103" t="s">
        <v>107</v>
      </c>
      <c r="J65" s="104">
        <f t="shared" si="22"/>
        <v>30108.64</v>
      </c>
      <c r="K65" s="104">
        <f t="shared" si="22"/>
        <v>53526.47111111111</v>
      </c>
      <c r="L65" s="119">
        <f t="shared" si="25"/>
        <v>0.059715638776458364</v>
      </c>
      <c r="M65" s="104">
        <f t="shared" si="26"/>
        <v>53526.47111111111</v>
      </c>
      <c r="N65" s="103" t="s">
        <v>107</v>
      </c>
      <c r="O65" s="104">
        <f t="shared" si="23"/>
        <v>59526.96</v>
      </c>
      <c r="P65" s="104">
        <f t="shared" si="23"/>
        <v>297634.8</v>
      </c>
      <c r="Q65" s="119">
        <f t="shared" si="27"/>
        <v>0.33204976594121083</v>
      </c>
      <c r="R65" s="104">
        <f t="shared" si="28"/>
        <v>297634.8</v>
      </c>
    </row>
    <row r="66" spans="1:18" ht="12.75">
      <c r="A66" s="59">
        <v>2016</v>
      </c>
      <c r="B66" s="104">
        <f t="shared" si="20"/>
        <v>896356</v>
      </c>
      <c r="D66" s="103" t="s">
        <v>107</v>
      </c>
      <c r="E66" s="104">
        <f t="shared" si="21"/>
        <v>30108.64</v>
      </c>
      <c r="F66" s="104">
        <f t="shared" si="21"/>
        <v>10160.678068437759</v>
      </c>
      <c r="G66" s="119">
        <f t="shared" si="29"/>
        <v>0.011335538634691751</v>
      </c>
      <c r="H66" s="104">
        <f t="shared" si="24"/>
        <v>10160.678068437759</v>
      </c>
      <c r="I66" s="103" t="s">
        <v>107</v>
      </c>
      <c r="J66" s="104">
        <f t="shared" si="22"/>
        <v>30108.64</v>
      </c>
      <c r="K66" s="104">
        <f t="shared" si="22"/>
        <v>53526.47111111111</v>
      </c>
      <c r="L66" s="119">
        <f t="shared" si="25"/>
        <v>0.059715638776458364</v>
      </c>
      <c r="M66" s="104">
        <f t="shared" si="26"/>
        <v>53526.47111111111</v>
      </c>
      <c r="N66" s="103" t="s">
        <v>107</v>
      </c>
      <c r="O66" s="104">
        <f t="shared" si="23"/>
        <v>59526.96</v>
      </c>
      <c r="P66" s="104">
        <f t="shared" si="23"/>
        <v>297634.8</v>
      </c>
      <c r="Q66" s="119">
        <f t="shared" si="27"/>
        <v>0.33204976594121083</v>
      </c>
      <c r="R66" s="104">
        <f t="shared" si="28"/>
        <v>297634.8</v>
      </c>
    </row>
    <row r="67" spans="1:18" ht="12.75">
      <c r="A67" s="59">
        <v>2017</v>
      </c>
      <c r="B67" s="104">
        <f t="shared" si="20"/>
        <v>896356</v>
      </c>
      <c r="D67" s="103" t="s">
        <v>107</v>
      </c>
      <c r="E67" s="104">
        <f t="shared" si="21"/>
        <v>30108.64</v>
      </c>
      <c r="F67" s="104">
        <f t="shared" si="21"/>
        <v>10160.678068437759</v>
      </c>
      <c r="G67" s="119">
        <f t="shared" si="29"/>
        <v>0.011335538634691751</v>
      </c>
      <c r="H67" s="104">
        <f t="shared" si="24"/>
        <v>10160.678068437759</v>
      </c>
      <c r="I67" s="103" t="s">
        <v>107</v>
      </c>
      <c r="J67" s="104">
        <f t="shared" si="22"/>
        <v>30108.64</v>
      </c>
      <c r="K67" s="104">
        <f t="shared" si="22"/>
        <v>53526.47111111111</v>
      </c>
      <c r="L67" s="119">
        <f t="shared" si="25"/>
        <v>0.059715638776458364</v>
      </c>
      <c r="M67" s="104">
        <f t="shared" si="26"/>
        <v>53526.47111111111</v>
      </c>
      <c r="N67" s="103" t="s">
        <v>107</v>
      </c>
      <c r="O67" s="104">
        <f t="shared" si="23"/>
        <v>59526.96</v>
      </c>
      <c r="P67" s="104">
        <f t="shared" si="23"/>
        <v>297634.8</v>
      </c>
      <c r="Q67" s="119">
        <f t="shared" si="27"/>
        <v>0.33204976594121083</v>
      </c>
      <c r="R67" s="104">
        <f t="shared" si="28"/>
        <v>297634.8</v>
      </c>
    </row>
    <row r="68" spans="1:18" ht="12.75">
      <c r="A68" s="59">
        <v>2018</v>
      </c>
      <c r="B68" s="104">
        <f t="shared" si="20"/>
        <v>896356</v>
      </c>
      <c r="D68" s="103" t="s">
        <v>107</v>
      </c>
      <c r="E68" s="104">
        <f t="shared" si="21"/>
        <v>37635.8</v>
      </c>
      <c r="F68" s="104">
        <f t="shared" si="21"/>
        <v>12700.847585547197</v>
      </c>
      <c r="G68" s="119">
        <f t="shared" si="29"/>
        <v>0.014169423293364687</v>
      </c>
      <c r="H68" s="104">
        <f t="shared" si="24"/>
        <v>12700.847585547197</v>
      </c>
      <c r="I68" s="103" t="s">
        <v>107</v>
      </c>
      <c r="J68" s="104">
        <f t="shared" si="22"/>
        <v>37635.8</v>
      </c>
      <c r="K68" s="104">
        <f t="shared" si="22"/>
        <v>66908.08888888889</v>
      </c>
      <c r="L68" s="119">
        <f t="shared" si="25"/>
        <v>0.07464454847057296</v>
      </c>
      <c r="M68" s="104">
        <f t="shared" si="26"/>
        <v>66908.0888888889</v>
      </c>
      <c r="N68" s="103" t="s">
        <v>107</v>
      </c>
      <c r="O68" s="104">
        <f t="shared" si="23"/>
        <v>59526.96</v>
      </c>
      <c r="P68" s="104">
        <f t="shared" si="23"/>
        <v>297634.8</v>
      </c>
      <c r="Q68" s="119">
        <f t="shared" si="27"/>
        <v>0.33204976594121083</v>
      </c>
      <c r="R68" s="104">
        <f t="shared" si="28"/>
        <v>297634.8</v>
      </c>
    </row>
    <row r="69" spans="1:18" ht="12.75">
      <c r="A69" s="59">
        <v>2019</v>
      </c>
      <c r="B69" s="104">
        <f t="shared" si="20"/>
        <v>896356</v>
      </c>
      <c r="D69" s="103" t="s">
        <v>107</v>
      </c>
      <c r="E69" s="104">
        <f t="shared" si="21"/>
        <v>37635.8</v>
      </c>
      <c r="F69" s="104">
        <f t="shared" si="21"/>
        <v>12700.847585547197</v>
      </c>
      <c r="G69" s="119">
        <f t="shared" si="29"/>
        <v>0.014169423293364687</v>
      </c>
      <c r="H69" s="104">
        <f t="shared" si="24"/>
        <v>12700.847585547197</v>
      </c>
      <c r="I69" s="103" t="s">
        <v>107</v>
      </c>
      <c r="J69" s="104">
        <f t="shared" si="22"/>
        <v>37635.8</v>
      </c>
      <c r="K69" s="104">
        <f t="shared" si="22"/>
        <v>66908.08888888889</v>
      </c>
      <c r="L69" s="119">
        <f t="shared" si="25"/>
        <v>0.07464454847057296</v>
      </c>
      <c r="M69" s="104">
        <f t="shared" si="26"/>
        <v>66908.0888888889</v>
      </c>
      <c r="N69" s="103" t="s">
        <v>107</v>
      </c>
      <c r="O69" s="104">
        <f t="shared" si="23"/>
        <v>59526.96</v>
      </c>
      <c r="P69" s="104">
        <f t="shared" si="23"/>
        <v>297634.8</v>
      </c>
      <c r="Q69" s="119">
        <f t="shared" si="27"/>
        <v>0.33204976594121083</v>
      </c>
      <c r="R69" s="104">
        <f t="shared" si="28"/>
        <v>297634.8</v>
      </c>
    </row>
    <row r="70" spans="1:18" ht="12.75">
      <c r="A70" s="59">
        <v>2020</v>
      </c>
      <c r="B70" s="104">
        <f t="shared" si="20"/>
        <v>896356</v>
      </c>
      <c r="D70" s="103" t="s">
        <v>107</v>
      </c>
      <c r="E70" s="104">
        <f t="shared" si="21"/>
        <v>37635.8</v>
      </c>
      <c r="F70" s="104">
        <f t="shared" si="21"/>
        <v>12700.847585547197</v>
      </c>
      <c r="G70" s="119">
        <f t="shared" si="29"/>
        <v>0.014169423293364687</v>
      </c>
      <c r="H70" s="104">
        <f t="shared" si="24"/>
        <v>12700.847585547197</v>
      </c>
      <c r="I70" s="103" t="s">
        <v>107</v>
      </c>
      <c r="J70" s="104">
        <f t="shared" si="22"/>
        <v>37635.8</v>
      </c>
      <c r="K70" s="104">
        <f t="shared" si="22"/>
        <v>66908.08888888889</v>
      </c>
      <c r="L70" s="119">
        <f t="shared" si="25"/>
        <v>0.07464454847057296</v>
      </c>
      <c r="M70" s="104">
        <f t="shared" si="26"/>
        <v>66908.0888888889</v>
      </c>
      <c r="N70" s="103" t="s">
        <v>107</v>
      </c>
      <c r="O70" s="104">
        <f t="shared" si="23"/>
        <v>59526.96</v>
      </c>
      <c r="P70" s="104">
        <f t="shared" si="23"/>
        <v>297634.8</v>
      </c>
      <c r="Q70" s="119">
        <f t="shared" si="27"/>
        <v>0.33204976594121083</v>
      </c>
      <c r="R70" s="104">
        <f t="shared" si="28"/>
        <v>297634.8</v>
      </c>
    </row>
  </sheetData>
  <mergeCells count="63">
    <mergeCell ref="Q28:Q29"/>
    <mergeCell ref="N51:N52"/>
    <mergeCell ref="P51:P52"/>
    <mergeCell ref="M28:M29"/>
    <mergeCell ref="N28:N29"/>
    <mergeCell ref="O28:O29"/>
    <mergeCell ref="P28:P29"/>
    <mergeCell ref="Q51:Q52"/>
    <mergeCell ref="E3:E4"/>
    <mergeCell ref="F3:F4"/>
    <mergeCell ref="R3:R4"/>
    <mergeCell ref="S3:S4"/>
    <mergeCell ref="Q3:Q4"/>
    <mergeCell ref="P3:P4"/>
    <mergeCell ref="O3:O4"/>
    <mergeCell ref="A2:A4"/>
    <mergeCell ref="B2:B4"/>
    <mergeCell ref="A27:A29"/>
    <mergeCell ref="B27:B29"/>
    <mergeCell ref="A50:A52"/>
    <mergeCell ref="B50:B52"/>
    <mergeCell ref="D51:D52"/>
    <mergeCell ref="E51:E52"/>
    <mergeCell ref="D50:H50"/>
    <mergeCell ref="F28:F29"/>
    <mergeCell ref="I28:I29"/>
    <mergeCell ref="J28:J29"/>
    <mergeCell ref="H51:H52"/>
    <mergeCell ref="I50:M50"/>
    <mergeCell ref="M51:M52"/>
    <mergeCell ref="L28:L29"/>
    <mergeCell ref="L51:L52"/>
    <mergeCell ref="K51:K52"/>
    <mergeCell ref="C27:C29"/>
    <mergeCell ref="G51:G52"/>
    <mergeCell ref="C2:C4"/>
    <mergeCell ref="F51:F52"/>
    <mergeCell ref="D28:D29"/>
    <mergeCell ref="E28:E29"/>
    <mergeCell ref="D27:H27"/>
    <mergeCell ref="H28:H29"/>
    <mergeCell ref="G28:G29"/>
    <mergeCell ref="G3:G4"/>
    <mergeCell ref="D2:I2"/>
    <mergeCell ref="J2:N2"/>
    <mergeCell ref="O2:S2"/>
    <mergeCell ref="H3:H4"/>
    <mergeCell ref="N3:N4"/>
    <mergeCell ref="J3:J4"/>
    <mergeCell ref="K3:K4"/>
    <mergeCell ref="L3:L4"/>
    <mergeCell ref="I3:I4"/>
    <mergeCell ref="D3:D4"/>
    <mergeCell ref="J51:J52"/>
    <mergeCell ref="M3:M4"/>
    <mergeCell ref="K28:K29"/>
    <mergeCell ref="O51:O52"/>
    <mergeCell ref="N27:R27"/>
    <mergeCell ref="I27:M27"/>
    <mergeCell ref="R51:R52"/>
    <mergeCell ref="N50:R50"/>
    <mergeCell ref="R28:R29"/>
    <mergeCell ref="I51:I52"/>
  </mergeCells>
  <printOptions/>
  <pageMargins left="0.23" right="0.18" top="0.34" bottom="0.2" header="0.17" footer="0.19"/>
  <pageSetup fitToHeight="1" fitToWidth="1" orientation="landscape" scale="61" r:id="rId1"/>
  <headerFooter alignWithMargins="0">
    <oddHeader>&amp;C&amp;"Arial,Bold"&amp;20LDT2</oddHeader>
    <oddFooter>&amp;L&amp;F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521">
    <pageSetUpPr fitToPage="1"/>
  </sheetPr>
  <dimension ref="A1:O72"/>
  <sheetViews>
    <sheetView view="pageBreakPreview" zoomScale="60" zoomScaleNormal="66" workbookViewId="0" topLeftCell="A1">
      <selection activeCell="F63" sqref="F63"/>
    </sheetView>
  </sheetViews>
  <sheetFormatPr defaultColWidth="9.140625" defaultRowHeight="12.75"/>
  <cols>
    <col min="1" max="1" width="10.57421875" style="0" customWidth="1"/>
    <col min="2" max="2" width="14.57421875" style="0" customWidth="1"/>
    <col min="3" max="3" width="13.140625" style="0" customWidth="1"/>
    <col min="4" max="4" width="13.8515625" style="0" customWidth="1"/>
    <col min="5" max="5" width="10.8515625" style="0" customWidth="1"/>
    <col min="6" max="6" width="12.140625" style="0" customWidth="1"/>
    <col min="7" max="7" width="13.7109375" style="0" customWidth="1"/>
    <col min="8" max="8" width="18.8515625" style="0" customWidth="1"/>
    <col min="9" max="9" width="20.140625" style="0" customWidth="1"/>
    <col min="10" max="10" width="20.8515625" style="0" customWidth="1"/>
  </cols>
  <sheetData>
    <row r="1" spans="1:10" ht="26.25" customHeight="1">
      <c r="A1" s="182" t="s">
        <v>174</v>
      </c>
      <c r="B1" s="182"/>
      <c r="C1" s="182"/>
      <c r="D1" s="182"/>
      <c r="E1" s="182"/>
      <c r="F1" s="182"/>
      <c r="G1" s="182"/>
      <c r="H1" s="122"/>
      <c r="I1" s="122"/>
      <c r="J1" s="122"/>
    </row>
    <row r="3" spans="1:7" ht="12.75">
      <c r="A3" s="150" t="s">
        <v>43</v>
      </c>
      <c r="B3" s="144" t="s">
        <v>194</v>
      </c>
      <c r="C3" s="144" t="s">
        <v>195</v>
      </c>
      <c r="D3" s="186" t="s">
        <v>35</v>
      </c>
      <c r="E3" s="150" t="s">
        <v>47</v>
      </c>
      <c r="F3" s="150" t="s">
        <v>100</v>
      </c>
      <c r="G3" s="150" t="s">
        <v>91</v>
      </c>
    </row>
    <row r="4" spans="1:7" ht="12.75" customHeight="1">
      <c r="A4" s="150"/>
      <c r="B4" s="172"/>
      <c r="C4" s="172"/>
      <c r="D4" s="187"/>
      <c r="E4" s="150"/>
      <c r="F4" s="150"/>
      <c r="G4" s="150"/>
    </row>
    <row r="5" spans="1:7" ht="12.75">
      <c r="A5" s="150"/>
      <c r="B5" s="145"/>
      <c r="C5" s="145"/>
      <c r="D5" s="188"/>
      <c r="E5" s="150"/>
      <c r="F5" s="150"/>
      <c r="G5" s="150"/>
    </row>
    <row r="6" spans="1:15" ht="12.75">
      <c r="A6" s="59">
        <v>2003</v>
      </c>
      <c r="B6" s="104">
        <f>'Fleet totals PC-LDT1'!B5</f>
        <v>917397.6666666666</v>
      </c>
      <c r="C6" s="59">
        <v>0</v>
      </c>
      <c r="D6" s="104">
        <f>B6+C6</f>
        <v>917397.6666666666</v>
      </c>
      <c r="E6" s="104">
        <f>B6*'Fleet totals PC-LDT1'!G5+C6*'Fleet totals LDT2'!H5</f>
        <v>4420.237470824074</v>
      </c>
      <c r="F6" s="104">
        <f>'Fleet totals PC-LDT1'!L5*'Vehicle Totals'!B6+'Fleet totals LDT2'!M5*'Vehicle Totals'!C6</f>
        <v>10193.307407407407</v>
      </c>
      <c r="G6" s="104">
        <f>'Fleet totals PC-LDT1'!Q5*'Vehicle Totals'!B6+'Fleet totals LDT2'!R5*'Vehicle Totals'!C6</f>
        <v>68804.825</v>
      </c>
      <c r="I6" t="s">
        <v>203</v>
      </c>
      <c r="O6" s="33"/>
    </row>
    <row r="7" spans="1:7" ht="12.75">
      <c r="A7" s="59">
        <v>2004</v>
      </c>
      <c r="B7" s="104">
        <f>'Fleet totals PC-LDT1'!B6</f>
        <v>917397.6666666666</v>
      </c>
      <c r="C7" s="59">
        <v>0</v>
      </c>
      <c r="D7" s="104">
        <f aca="true" t="shared" si="0" ref="D7:D23">B7+C7</f>
        <v>917397.6666666666</v>
      </c>
      <c r="E7" s="104">
        <f>B7*'Fleet totals PC-LDT1'!G6+C7*'Fleet totals LDT2'!H6</f>
        <v>4420.237470824074</v>
      </c>
      <c r="F7" s="104">
        <f>'Fleet totals PC-LDT1'!L6*'Vehicle Totals'!B7+'Fleet totals LDT2'!M6*'Vehicle Totals'!C7</f>
        <v>20386.614814814813</v>
      </c>
      <c r="G7" s="104">
        <f>'Fleet totals PC-LDT1'!Q6*'Vehicle Totals'!B7+'Fleet totals LDT2'!R6*'Vehicle Totals'!C7</f>
        <v>137609.65</v>
      </c>
    </row>
    <row r="8" spans="1:7" ht="12.75">
      <c r="A8" s="59">
        <v>2005</v>
      </c>
      <c r="B8" s="104">
        <f>'Fleet totals PC-LDT1'!B7</f>
        <v>917397.6666666666</v>
      </c>
      <c r="C8" s="59">
        <v>0</v>
      </c>
      <c r="D8" s="104">
        <f t="shared" si="0"/>
        <v>917397.6666666666</v>
      </c>
      <c r="E8" s="104">
        <f>B8*'Fleet totals PC-LDT1'!G7+C8*'Fleet totals LDT2'!H7</f>
        <v>4418.008385022636</v>
      </c>
      <c r="F8" s="104">
        <f>'Fleet totals PC-LDT1'!L7*'Vehicle Totals'!B8+'Fleet totals LDT2'!M7*'Vehicle Totals'!C8</f>
        <v>24525.250905040375</v>
      </c>
      <c r="G8" s="104">
        <f>'Fleet totals PC-LDT1'!Q7*'Vehicle Totals'!B8+'Fleet totals LDT2'!R7*'Vehicle Totals'!C8</f>
        <v>206931.80451127817</v>
      </c>
    </row>
    <row r="9" spans="1:7" ht="12.75">
      <c r="A9" s="59">
        <v>2006</v>
      </c>
      <c r="B9" s="104">
        <f>'Fleet totals PC-LDT1'!B8</f>
        <v>1130564</v>
      </c>
      <c r="C9" s="104">
        <f>Sales!F65</f>
        <v>0</v>
      </c>
      <c r="D9" s="104">
        <f t="shared" si="0"/>
        <v>1130564</v>
      </c>
      <c r="E9" s="104">
        <f>B9*'Fleet totals PC-LDT1'!G8+C9*'Fleet totals LDT2'!H8</f>
        <v>6570.033682114932</v>
      </c>
      <c r="F9" s="104">
        <f>'Fleet totals PC-LDT1'!L8*'Vehicle Totals'!B9+'Fleet totals LDT2'!M8*'Vehicle Totals'!C9</f>
        <v>40197.83111111111</v>
      </c>
      <c r="G9" s="104">
        <f>'Fleet totals PC-LDT1'!Q8*'Vehicle Totals'!B9+'Fleet totals LDT2'!R8*'Vehicle Totals'!C9</f>
        <v>339169.2</v>
      </c>
    </row>
    <row r="10" spans="1:7" ht="12.75">
      <c r="A10" s="59">
        <v>2007</v>
      </c>
      <c r="B10" s="104">
        <f>'Fleet totals PC-LDT1'!B9</f>
        <v>1130564</v>
      </c>
      <c r="C10" s="104">
        <f>Sales!J65</f>
        <v>127961.72000000002</v>
      </c>
      <c r="D10" s="104">
        <f t="shared" si="0"/>
        <v>1258525.72</v>
      </c>
      <c r="E10" s="104">
        <f>B10*'Fleet totals PC-LDT1'!G9+C10*'Fleet totals LDT2'!H9</f>
        <v>7360.103697183642</v>
      </c>
      <c r="F10" s="104">
        <f>'Fleet totals PC-LDT1'!L9*'Vehicle Totals'!B10+'Fleet totals LDT2'!M9*'Vehicle Totals'!C10</f>
        <v>44747.581155555556</v>
      </c>
      <c r="G10" s="104">
        <f>'Fleet totals PC-LDT1'!Q9*'Vehicle Totals'!B10+'Fleet totals LDT2'!R9*'Vehicle Totals'!C10</f>
        <v>377557.716</v>
      </c>
    </row>
    <row r="11" spans="1:7" ht="12.75">
      <c r="A11" s="59">
        <v>2008</v>
      </c>
      <c r="B11" s="104">
        <f>'Fleet totals PC-LDT1'!B10</f>
        <v>1130564</v>
      </c>
      <c r="C11" s="104">
        <f>Sales!K65</f>
        <v>255923.44000000003</v>
      </c>
      <c r="D11" s="104">
        <f t="shared" si="0"/>
        <v>1386487.44</v>
      </c>
      <c r="E11" s="104">
        <f>B11*'Fleet totals PC-LDT1'!G10+C11*'Fleet totals LDT2'!H10</f>
        <v>8066.789080779858</v>
      </c>
      <c r="F11" s="104">
        <f>'Fleet totals PC-LDT1'!L10*'Vehicle Totals'!B11+'Fleet totals LDT2'!M10*'Vehicle Totals'!C11</f>
        <v>49297.3312</v>
      </c>
      <c r="G11" s="104">
        <f>'Fleet totals PC-LDT1'!Q10*'Vehicle Totals'!B11+'Fleet totals LDT2'!R10*'Vehicle Totals'!C11</f>
        <v>415946.232</v>
      </c>
    </row>
    <row r="12" spans="1:7" ht="12.75">
      <c r="A12" s="59">
        <v>2009</v>
      </c>
      <c r="B12" s="104">
        <f>'Fleet totals PC-LDT1'!B11</f>
        <v>1130564</v>
      </c>
      <c r="C12" s="104">
        <f>Sales!M65</f>
        <v>383885.16000000003</v>
      </c>
      <c r="D12" s="104">
        <f t="shared" si="0"/>
        <v>1514449.1600000001</v>
      </c>
      <c r="E12" s="104">
        <f>B12*'Fleet totals PC-LDT1'!G11+C12*'Fleet totals LDT2'!H11</f>
        <v>11507.762152837822</v>
      </c>
      <c r="F12" s="104">
        <f>'Fleet totals PC-LDT1'!L11*'Vehicle Totals'!B12+'Fleet totals LDT2'!M11*'Vehicle Totals'!C12</f>
        <v>67308.85155555556</v>
      </c>
      <c r="G12" s="104">
        <f>'Fleet totals PC-LDT1'!Q11*'Vehicle Totals'!B12+'Fleet totals LDT2'!R11*'Vehicle Totals'!C12</f>
        <v>454334.748</v>
      </c>
    </row>
    <row r="13" spans="1:7" ht="12.75">
      <c r="A13" s="59">
        <v>2010</v>
      </c>
      <c r="B13" s="104">
        <f>'Fleet totals PC-LDT1'!B12</f>
        <v>1130564</v>
      </c>
      <c r="C13" s="104">
        <f>Sales!N65</f>
        <v>511846.88000000006</v>
      </c>
      <c r="D13" s="104">
        <f t="shared" si="0"/>
        <v>1642410.8800000001</v>
      </c>
      <c r="E13" s="104">
        <f>B13*'Fleet totals PC-LDT1'!G12+C13*'Fleet totals LDT2'!H12</f>
        <v>12759.372373909384</v>
      </c>
      <c r="F13" s="104">
        <f>'Fleet totals PC-LDT1'!L12*'Vehicle Totals'!B13+'Fleet totals LDT2'!M12*'Vehicle Totals'!C13</f>
        <v>72996.03911111111</v>
      </c>
      <c r="G13" s="104">
        <f>'Fleet totals PC-LDT1'!Q12*'Vehicle Totals'!B13+'Fleet totals LDT2'!R12*'Vehicle Totals'!C13</f>
        <v>492723.264</v>
      </c>
    </row>
    <row r="14" spans="1:7" ht="12.75">
      <c r="A14" s="59">
        <v>2011</v>
      </c>
      <c r="B14" s="104">
        <f>'Fleet totals PC-LDT1'!B13</f>
        <v>1130564</v>
      </c>
      <c r="C14" s="104">
        <f>Sales!O65</f>
        <v>639808.6</v>
      </c>
      <c r="D14" s="104">
        <f t="shared" si="0"/>
        <v>1770372.6</v>
      </c>
      <c r="E14" s="104">
        <f>B14*'Fleet totals PC-LDT1'!G13+C14*'Fleet totals LDT2'!H13</f>
        <v>13796.035705327518</v>
      </c>
      <c r="F14" s="104">
        <f>'Fleet totals PC-LDT1'!L13*'Vehicle Totals'!B14+'Fleet totals LDT2'!M13*'Vehicle Totals'!C14</f>
        <v>78683.22666666667</v>
      </c>
      <c r="G14" s="104">
        <f>'Fleet totals PC-LDT1'!Q13*'Vehicle Totals'!B14+'Fleet totals LDT2'!R13*'Vehicle Totals'!C14</f>
        <v>531111.78</v>
      </c>
    </row>
    <row r="15" spans="1:7" ht="12.75">
      <c r="A15" s="59">
        <v>2012</v>
      </c>
      <c r="B15" s="104">
        <f>'Fleet totals PC-LDT1'!B14</f>
        <v>1130564</v>
      </c>
      <c r="C15" s="104">
        <f>Sales!Q65</f>
        <v>752716</v>
      </c>
      <c r="D15" s="104">
        <f t="shared" si="0"/>
        <v>1883280</v>
      </c>
      <c r="E15" s="104">
        <f>B15*'Fleet totals PC-LDT1'!G14+C15*'Fleet totals LDT2'!H14</f>
        <v>19066.356161614207</v>
      </c>
      <c r="F15" s="104">
        <f>'Fleet totals PC-LDT1'!L14*'Vehicle Totals'!B15+'Fleet totals LDT2'!M14*'Vehicle Totals'!C15</f>
        <v>100441.6</v>
      </c>
      <c r="G15" s="104">
        <f>'Fleet totals PC-LDT1'!Q14*'Vehicle Totals'!B15+'Fleet totals LDT2'!R14*'Vehicle Totals'!C15</f>
        <v>564984</v>
      </c>
    </row>
    <row r="16" spans="1:7" ht="12.75">
      <c r="A16" s="59">
        <v>2013</v>
      </c>
      <c r="B16" s="104">
        <f>'Fleet totals PC-LDT1'!B15</f>
        <v>1130564</v>
      </c>
      <c r="C16" s="104">
        <f>Sales!R65</f>
        <v>752716</v>
      </c>
      <c r="D16" s="104">
        <f t="shared" si="0"/>
        <v>1883280</v>
      </c>
      <c r="E16" s="104">
        <f>B16*'Fleet totals PC-LDT1'!G15+C16*'Fleet totals LDT2'!H15</f>
        <v>19066.356161614207</v>
      </c>
      <c r="F16" s="104">
        <f>'Fleet totals PC-LDT1'!L15*'Vehicle Totals'!B16+'Fleet totals LDT2'!M15*'Vehicle Totals'!C16</f>
        <v>100441.6</v>
      </c>
      <c r="G16" s="104">
        <f>'Fleet totals PC-LDT1'!Q15*'Vehicle Totals'!B16+'Fleet totals LDT2'!R15*'Vehicle Totals'!C16</f>
        <v>564984</v>
      </c>
    </row>
    <row r="17" spans="1:7" ht="12.75">
      <c r="A17" s="59">
        <v>2014</v>
      </c>
      <c r="B17" s="104">
        <f>'Fleet totals PC-LDT1'!B16</f>
        <v>1130564</v>
      </c>
      <c r="C17" s="104">
        <f>Sales!S65</f>
        <v>752716</v>
      </c>
      <c r="D17" s="104">
        <f t="shared" si="0"/>
        <v>1883280</v>
      </c>
      <c r="E17" s="104">
        <f>B17*'Fleet totals PC-LDT1'!G16+C17*'Fleet totals LDT2'!H16</f>
        <v>19066.356161614207</v>
      </c>
      <c r="F17" s="104">
        <f>'Fleet totals PC-LDT1'!L16*'Vehicle Totals'!B17+'Fleet totals LDT2'!M16*'Vehicle Totals'!C17</f>
        <v>100441.6</v>
      </c>
      <c r="G17" s="104">
        <f>'Fleet totals PC-LDT1'!Q16*'Vehicle Totals'!B17+'Fleet totals LDT2'!R16*'Vehicle Totals'!C17</f>
        <v>564984</v>
      </c>
    </row>
    <row r="18" spans="1:7" ht="12.75">
      <c r="A18" s="59">
        <v>2015</v>
      </c>
      <c r="B18" s="104">
        <f>'Fleet totals PC-LDT1'!B17</f>
        <v>1130564</v>
      </c>
      <c r="C18" s="104">
        <f>Sales!U65</f>
        <v>752716</v>
      </c>
      <c r="D18" s="104">
        <f t="shared" si="0"/>
        <v>1883280</v>
      </c>
      <c r="E18" s="104">
        <f>B18*'Fleet totals PC-LDT1'!G17+C18*'Fleet totals LDT2'!H17</f>
        <v>25421.808215485606</v>
      </c>
      <c r="F18" s="104">
        <f>'Fleet totals PC-LDT1'!L17*'Vehicle Totals'!B18+'Fleet totals LDT2'!M17*'Vehicle Totals'!C18</f>
        <v>133922.13333333333</v>
      </c>
      <c r="G18" s="104">
        <f>'Fleet totals PC-LDT1'!Q17*'Vehicle Totals'!B18+'Fleet totals LDT2'!R17*'Vehicle Totals'!C18</f>
        <v>564984</v>
      </c>
    </row>
    <row r="19" spans="1:7" ht="12.75">
      <c r="A19" s="59">
        <v>2016</v>
      </c>
      <c r="B19" s="104">
        <f>'Fleet totals PC-LDT1'!B18</f>
        <v>1130564</v>
      </c>
      <c r="C19" s="104">
        <f>Sales!V65</f>
        <v>752716</v>
      </c>
      <c r="D19" s="104">
        <f t="shared" si="0"/>
        <v>1883280</v>
      </c>
      <c r="E19" s="104">
        <f>B19*'Fleet totals PC-LDT1'!G18+C19*'Fleet totals LDT2'!H18</f>
        <v>25421.808215485606</v>
      </c>
      <c r="F19" s="104">
        <f>'Fleet totals PC-LDT1'!L18*'Vehicle Totals'!B19+'Fleet totals LDT2'!M18*'Vehicle Totals'!C19</f>
        <v>133922.13333333333</v>
      </c>
      <c r="G19" s="104">
        <f>'Fleet totals PC-LDT1'!Q18*'Vehicle Totals'!B19+'Fleet totals LDT2'!R18*'Vehicle Totals'!C19</f>
        <v>564984</v>
      </c>
    </row>
    <row r="20" spans="1:7" ht="12.75">
      <c r="A20" s="59">
        <v>2017</v>
      </c>
      <c r="B20" s="104">
        <f>'Fleet totals PC-LDT1'!B19</f>
        <v>1130564</v>
      </c>
      <c r="C20" s="104">
        <f>Sales!W65</f>
        <v>752716</v>
      </c>
      <c r="D20" s="104">
        <f t="shared" si="0"/>
        <v>1883280</v>
      </c>
      <c r="E20" s="104">
        <f>B20*'Fleet totals PC-LDT1'!G19+C20*'Fleet totals LDT2'!H19</f>
        <v>25421.808215485606</v>
      </c>
      <c r="F20" s="104">
        <f>'Fleet totals PC-LDT1'!L19*'Vehicle Totals'!B20+'Fleet totals LDT2'!M19*'Vehicle Totals'!C20</f>
        <v>133922.13333333333</v>
      </c>
      <c r="G20" s="104">
        <f>'Fleet totals PC-LDT1'!Q19*'Vehicle Totals'!B20+'Fleet totals LDT2'!R19*'Vehicle Totals'!C20</f>
        <v>564984</v>
      </c>
    </row>
    <row r="21" spans="1:7" ht="12.75">
      <c r="A21" s="59">
        <v>2018</v>
      </c>
      <c r="B21" s="104">
        <f>'Fleet totals PC-LDT1'!B20</f>
        <v>1130564</v>
      </c>
      <c r="C21" s="104">
        <f>Sales!X65</f>
        <v>752716</v>
      </c>
      <c r="D21" s="104">
        <f t="shared" si="0"/>
        <v>1883280</v>
      </c>
      <c r="E21" s="104">
        <f>B21*'Fleet totals PC-LDT1'!G20+C21*'Fleet totals LDT2'!H20</f>
        <v>31777.260269357</v>
      </c>
      <c r="F21" s="104">
        <f>'Fleet totals PC-LDT1'!L20*'Vehicle Totals'!B21+'Fleet totals LDT2'!M20*'Vehicle Totals'!C21</f>
        <v>167402.6666666667</v>
      </c>
      <c r="G21" s="104">
        <f>'Fleet totals PC-LDT1'!Q20*'Vehicle Totals'!B21+'Fleet totals LDT2'!R20*'Vehicle Totals'!C21</f>
        <v>564984</v>
      </c>
    </row>
    <row r="22" spans="1:7" ht="12.75">
      <c r="A22" s="59">
        <v>2019</v>
      </c>
      <c r="B22" s="104">
        <f>'Fleet totals PC-LDT1'!B21</f>
        <v>1130564</v>
      </c>
      <c r="C22" s="104">
        <f>Sales!Y65</f>
        <v>752716</v>
      </c>
      <c r="D22" s="104">
        <f t="shared" si="0"/>
        <v>1883280</v>
      </c>
      <c r="E22" s="104">
        <f>B22*'Fleet totals PC-LDT1'!G21+C22*'Fleet totals LDT2'!H21</f>
        <v>31777.260269357</v>
      </c>
      <c r="F22" s="104">
        <f>'Fleet totals PC-LDT1'!L21*'Vehicle Totals'!B22+'Fleet totals LDT2'!M21*'Vehicle Totals'!C22</f>
        <v>167402.6666666667</v>
      </c>
      <c r="G22" s="104">
        <f>'Fleet totals PC-LDT1'!Q21*'Vehicle Totals'!B22+'Fleet totals LDT2'!R21*'Vehicle Totals'!C22</f>
        <v>564984</v>
      </c>
    </row>
    <row r="23" spans="1:7" ht="12.75">
      <c r="A23" s="59">
        <v>2020</v>
      </c>
      <c r="B23" s="104">
        <f>'Fleet totals PC-LDT1'!B22</f>
        <v>1130564</v>
      </c>
      <c r="C23" s="104">
        <f>Sales!Z65</f>
        <v>752716</v>
      </c>
      <c r="D23" s="104">
        <f t="shared" si="0"/>
        <v>1883280</v>
      </c>
      <c r="E23" s="104">
        <f>B23*'Fleet totals PC-LDT1'!G22+C23*'Fleet totals LDT2'!H22</f>
        <v>31777.260269357</v>
      </c>
      <c r="F23" s="104">
        <f>'Fleet totals PC-LDT1'!L22*'Vehicle Totals'!B23+'Fleet totals LDT2'!M22*'Vehicle Totals'!C23</f>
        <v>167402.6666666667</v>
      </c>
      <c r="G23" s="104">
        <f>'Fleet totals PC-LDT1'!Q22*'Vehicle Totals'!B23+'Fleet totals LDT2'!R22*'Vehicle Totals'!C23</f>
        <v>564984</v>
      </c>
    </row>
    <row r="24" spans="2:4" ht="12.75">
      <c r="B24" s="33"/>
      <c r="D24" t="s">
        <v>40</v>
      </c>
    </row>
    <row r="25" spans="1:2" ht="12.75">
      <c r="A25" t="s">
        <v>40</v>
      </c>
      <c r="B25" s="33" t="s">
        <v>40</v>
      </c>
    </row>
    <row r="26" ht="12.75">
      <c r="B26" s="33"/>
    </row>
    <row r="27" spans="1:7" ht="25.5" customHeight="1">
      <c r="A27" s="184" t="s">
        <v>175</v>
      </c>
      <c r="B27" s="185"/>
      <c r="C27" s="185"/>
      <c r="D27" s="185"/>
      <c r="E27" s="185"/>
      <c r="F27" s="185"/>
      <c r="G27" s="185"/>
    </row>
    <row r="28" spans="1:7" ht="12.75">
      <c r="A28" s="150" t="s">
        <v>43</v>
      </c>
      <c r="B28" s="144" t="s">
        <v>194</v>
      </c>
      <c r="C28" s="144" t="s">
        <v>191</v>
      </c>
      <c r="D28" s="186" t="s">
        <v>35</v>
      </c>
      <c r="G28" s="150" t="s">
        <v>91</v>
      </c>
    </row>
    <row r="29" spans="1:7" ht="12.75" customHeight="1">
      <c r="A29" s="150"/>
      <c r="B29" s="172"/>
      <c r="C29" s="172"/>
      <c r="D29" s="187"/>
      <c r="G29" s="150"/>
    </row>
    <row r="30" spans="1:7" ht="12.75">
      <c r="A30" s="150"/>
      <c r="B30" s="145"/>
      <c r="C30" s="145"/>
      <c r="D30" s="188"/>
      <c r="G30" s="150"/>
    </row>
    <row r="31" spans="1:8" ht="12.75">
      <c r="A31" s="59">
        <v>2003</v>
      </c>
      <c r="B31" s="104">
        <f>'Fleet totals PC-LDT1'!B30</f>
        <v>180000</v>
      </c>
      <c r="C31" s="104">
        <f>'Fleet totals LDT2'!B30</f>
        <v>0</v>
      </c>
      <c r="D31" s="104">
        <f>B31+C31</f>
        <v>180000</v>
      </c>
      <c r="G31" s="59">
        <f>'Fleet totals PC-LDT1'!Q30*'Vehicle Totals'!B31+'Fleet totals LDT2'!Q30*'Vehicle Totals'!C31</f>
        <v>22500</v>
      </c>
      <c r="H31" s="33"/>
    </row>
    <row r="32" spans="1:8" ht="12.75">
      <c r="A32" s="59">
        <v>2004</v>
      </c>
      <c r="B32" s="104">
        <f>'Fleet totals PC-LDT1'!B31</f>
        <v>180000</v>
      </c>
      <c r="C32" s="104">
        <f>'Fleet totals LDT2'!B31</f>
        <v>0</v>
      </c>
      <c r="D32" s="104">
        <f aca="true" t="shared" si="1" ref="D32:D48">B32+C32</f>
        <v>180000</v>
      </c>
      <c r="G32" s="59">
        <f>'Fleet totals PC-LDT1'!Q31*'Vehicle Totals'!B32+'Fleet totals LDT2'!Q31*'Vehicle Totals'!C32</f>
        <v>45000</v>
      </c>
      <c r="H32" s="33"/>
    </row>
    <row r="33" spans="1:8" ht="12.75">
      <c r="A33" s="59">
        <v>2005</v>
      </c>
      <c r="B33" s="104">
        <f>'Fleet totals PC-LDT1'!B32</f>
        <v>180000</v>
      </c>
      <c r="C33" s="104">
        <f>'Fleet totals LDT2'!B32</f>
        <v>0</v>
      </c>
      <c r="D33" s="104">
        <f t="shared" si="1"/>
        <v>180000</v>
      </c>
      <c r="G33" s="104">
        <f>'Fleet totals PC-LDT1'!Q32*'Vehicle Totals'!B33+'Fleet totals LDT2'!Q32*'Vehicle Totals'!C33</f>
        <v>67669.17293233082</v>
      </c>
      <c r="H33" s="33"/>
    </row>
    <row r="34" spans="1:8" ht="12.75">
      <c r="A34" s="59">
        <v>2006</v>
      </c>
      <c r="B34" s="104">
        <f>'Fleet totals PC-LDT1'!B33</f>
        <v>124307</v>
      </c>
      <c r="C34" s="104">
        <f>'Fleet totals LDT2'!B33</f>
        <v>0</v>
      </c>
      <c r="D34" s="104">
        <f t="shared" si="1"/>
        <v>124307</v>
      </c>
      <c r="G34" s="104">
        <f>'Fleet totals PC-LDT1'!Q33*'Vehicle Totals'!B34+'Fleet totals LDT2'!Q33*'Vehicle Totals'!C34</f>
        <v>62153.5</v>
      </c>
      <c r="H34" s="33"/>
    </row>
    <row r="35" spans="1:8" ht="12.75">
      <c r="A35" s="59">
        <v>2007</v>
      </c>
      <c r="B35" s="104">
        <f>'Fleet totals PC-LDT1'!B34</f>
        <v>124307</v>
      </c>
      <c r="C35" s="104">
        <f>'Fleet totals LDT2'!B34</f>
        <v>24418.8</v>
      </c>
      <c r="D35" s="104">
        <f t="shared" si="1"/>
        <v>148725.8</v>
      </c>
      <c r="G35" s="104">
        <f>'Fleet totals PC-LDT1'!Q34*'Vehicle Totals'!B35+'Fleet totals LDT2'!Q34*'Vehicle Totals'!C35</f>
        <v>74362.9</v>
      </c>
      <c r="H35" s="33"/>
    </row>
    <row r="36" spans="1:8" ht="12.75">
      <c r="A36" s="59">
        <v>2008</v>
      </c>
      <c r="B36" s="104">
        <f>'Fleet totals PC-LDT1'!B35</f>
        <v>124307</v>
      </c>
      <c r="C36" s="104">
        <f>'Fleet totals LDT2'!B35</f>
        <v>48837.6</v>
      </c>
      <c r="D36" s="104">
        <f t="shared" si="1"/>
        <v>173144.6</v>
      </c>
      <c r="G36" s="104">
        <f>'Fleet totals PC-LDT1'!Q35*'Vehicle Totals'!B36+'Fleet totals LDT2'!Q35*'Vehicle Totals'!C36</f>
        <v>86572.3</v>
      </c>
      <c r="H36" s="33"/>
    </row>
    <row r="37" spans="1:8" ht="12.75">
      <c r="A37" s="59">
        <v>2009</v>
      </c>
      <c r="B37" s="104">
        <f>'Fleet totals PC-LDT1'!B36</f>
        <v>124307</v>
      </c>
      <c r="C37" s="104">
        <f>'Fleet totals LDT2'!B36</f>
        <v>73256.4</v>
      </c>
      <c r="D37" s="104">
        <f t="shared" si="1"/>
        <v>197563.4</v>
      </c>
      <c r="G37" s="104">
        <f>'Fleet totals PC-LDT1'!Q36*'Vehicle Totals'!B37+'Fleet totals LDT2'!Q36*'Vehicle Totals'!C37</f>
        <v>98781.7</v>
      </c>
      <c r="H37" s="33"/>
    </row>
    <row r="38" spans="1:8" ht="12.75">
      <c r="A38" s="59">
        <v>2010</v>
      </c>
      <c r="B38" s="104">
        <f>'Fleet totals PC-LDT1'!B37</f>
        <v>124307</v>
      </c>
      <c r="C38" s="104">
        <f>'Fleet totals LDT2'!B37</f>
        <v>97675.2</v>
      </c>
      <c r="D38" s="104">
        <f t="shared" si="1"/>
        <v>221982.2</v>
      </c>
      <c r="G38" s="104">
        <f>'Fleet totals PC-LDT1'!Q37*'Vehicle Totals'!B38+'Fleet totals LDT2'!Q37*'Vehicle Totals'!C38</f>
        <v>110991.1</v>
      </c>
      <c r="H38" s="33"/>
    </row>
    <row r="39" spans="1:8" ht="12.75">
      <c r="A39" s="59">
        <v>2011</v>
      </c>
      <c r="B39" s="104">
        <f>'Fleet totals PC-LDT1'!B38</f>
        <v>124307</v>
      </c>
      <c r="C39" s="104">
        <f>'Fleet totals LDT2'!B38</f>
        <v>122094</v>
      </c>
      <c r="D39" s="104">
        <f t="shared" si="1"/>
        <v>246401</v>
      </c>
      <c r="G39" s="104">
        <f>'Fleet totals PC-LDT1'!Q38*'Vehicle Totals'!B39+'Fleet totals LDT2'!Q38*'Vehicle Totals'!C39</f>
        <v>123200.5</v>
      </c>
      <c r="H39" s="33"/>
    </row>
    <row r="40" spans="1:8" ht="12.75">
      <c r="A40" s="59">
        <v>2012</v>
      </c>
      <c r="B40" s="104">
        <f>'Fleet totals PC-LDT1'!B39</f>
        <v>124307</v>
      </c>
      <c r="C40" s="104">
        <f>'Fleet totals LDT2'!B39</f>
        <v>143640</v>
      </c>
      <c r="D40" s="104">
        <f t="shared" si="1"/>
        <v>267947</v>
      </c>
      <c r="G40" s="104">
        <f>'Fleet totals PC-LDT1'!Q39*'Vehicle Totals'!B40+'Fleet totals LDT2'!Q39*'Vehicle Totals'!C40</f>
        <v>133973.5</v>
      </c>
      <c r="H40" s="33"/>
    </row>
    <row r="41" spans="1:8" ht="12.75">
      <c r="A41" s="59">
        <v>2013</v>
      </c>
      <c r="B41" s="104">
        <f>'Fleet totals PC-LDT1'!B40</f>
        <v>124307</v>
      </c>
      <c r="C41" s="104">
        <f>'Fleet totals LDT2'!B40</f>
        <v>143640</v>
      </c>
      <c r="D41" s="104">
        <f t="shared" si="1"/>
        <v>267947</v>
      </c>
      <c r="G41" s="104">
        <f>'Fleet totals PC-LDT1'!Q40*'Vehicle Totals'!B41+'Fleet totals LDT2'!Q40*'Vehicle Totals'!C41</f>
        <v>133973.5</v>
      </c>
      <c r="H41" s="33"/>
    </row>
    <row r="42" spans="1:8" ht="12.75">
      <c r="A42" s="59">
        <v>2014</v>
      </c>
      <c r="B42" s="104">
        <f>'Fleet totals PC-LDT1'!B41</f>
        <v>124307</v>
      </c>
      <c r="C42" s="104">
        <f>'Fleet totals LDT2'!B41</f>
        <v>143640</v>
      </c>
      <c r="D42" s="104">
        <f t="shared" si="1"/>
        <v>267947</v>
      </c>
      <c r="G42" s="104">
        <f>'Fleet totals PC-LDT1'!Q41*'Vehicle Totals'!B42+'Fleet totals LDT2'!Q41*'Vehicle Totals'!C42</f>
        <v>133973.5</v>
      </c>
      <c r="H42" s="33"/>
    </row>
    <row r="43" spans="1:8" ht="12.75">
      <c r="A43" s="59">
        <v>2015</v>
      </c>
      <c r="B43" s="104">
        <f>'Fleet totals PC-LDT1'!B42</f>
        <v>124307</v>
      </c>
      <c r="C43" s="104">
        <f>'Fleet totals LDT2'!B42</f>
        <v>143640</v>
      </c>
      <c r="D43" s="104">
        <f t="shared" si="1"/>
        <v>267947</v>
      </c>
      <c r="F43" t="s">
        <v>40</v>
      </c>
      <c r="G43" s="104">
        <f>'Fleet totals PC-LDT1'!Q42*'Vehicle Totals'!B43+'Fleet totals LDT2'!Q42*'Vehicle Totals'!C43</f>
        <v>133973.5</v>
      </c>
      <c r="H43" s="33"/>
    </row>
    <row r="44" spans="1:8" ht="12.75">
      <c r="A44" s="59">
        <v>2016</v>
      </c>
      <c r="B44" s="104">
        <f>'Fleet totals PC-LDT1'!B43</f>
        <v>124307</v>
      </c>
      <c r="C44" s="104">
        <f>'Fleet totals LDT2'!B43</f>
        <v>143640</v>
      </c>
      <c r="D44" s="104">
        <f t="shared" si="1"/>
        <v>267947</v>
      </c>
      <c r="G44" s="104">
        <f>'Fleet totals PC-LDT1'!Q43*'Vehicle Totals'!B44+'Fleet totals LDT2'!Q43*'Vehicle Totals'!C44</f>
        <v>133973.5</v>
      </c>
      <c r="H44" s="33"/>
    </row>
    <row r="45" spans="1:9" ht="12.75">
      <c r="A45" s="59">
        <v>2017</v>
      </c>
      <c r="B45" s="104">
        <f>'Fleet totals PC-LDT1'!B44</f>
        <v>124307</v>
      </c>
      <c r="C45" s="104">
        <f>'Fleet totals LDT2'!B44</f>
        <v>143640</v>
      </c>
      <c r="D45" s="104">
        <f t="shared" si="1"/>
        <v>267947</v>
      </c>
      <c r="G45" s="104">
        <f>'Fleet totals PC-LDT1'!Q44*'Vehicle Totals'!B45+'Fleet totals LDT2'!Q44*'Vehicle Totals'!C45</f>
        <v>133973.5</v>
      </c>
      <c r="H45" s="33"/>
      <c r="I45" t="s">
        <v>202</v>
      </c>
    </row>
    <row r="46" spans="1:8" ht="12.75">
      <c r="A46" s="59">
        <v>2018</v>
      </c>
      <c r="B46" s="104">
        <f>'Fleet totals PC-LDT1'!B45</f>
        <v>124307</v>
      </c>
      <c r="C46" s="104">
        <f>'Fleet totals LDT2'!B45</f>
        <v>143640</v>
      </c>
      <c r="D46" s="104">
        <f t="shared" si="1"/>
        <v>267947</v>
      </c>
      <c r="G46" s="104">
        <f>'Fleet totals PC-LDT1'!Q45*'Vehicle Totals'!B46+'Fleet totals LDT2'!Q45*'Vehicle Totals'!C46</f>
        <v>133973.5</v>
      </c>
      <c r="H46" s="33"/>
    </row>
    <row r="47" spans="1:8" ht="12.75">
      <c r="A47" s="59">
        <v>2019</v>
      </c>
      <c r="B47" s="104">
        <f>'Fleet totals PC-LDT1'!B46</f>
        <v>124307</v>
      </c>
      <c r="C47" s="104">
        <f>'Fleet totals LDT2'!B46</f>
        <v>143640</v>
      </c>
      <c r="D47" s="104">
        <f t="shared" si="1"/>
        <v>267947</v>
      </c>
      <c r="G47" s="104">
        <f>'Fleet totals PC-LDT1'!Q46*'Vehicle Totals'!B47+'Fleet totals LDT2'!Q46*'Vehicle Totals'!C47</f>
        <v>133973.5</v>
      </c>
      <c r="H47" s="33"/>
    </row>
    <row r="48" spans="1:8" ht="12.75">
      <c r="A48" s="59">
        <v>2020</v>
      </c>
      <c r="B48" s="104">
        <f>'Fleet totals PC-LDT1'!B47</f>
        <v>124307</v>
      </c>
      <c r="C48" s="104">
        <f>'Fleet totals LDT2'!B47</f>
        <v>143640</v>
      </c>
      <c r="D48" s="104">
        <f t="shared" si="1"/>
        <v>267947</v>
      </c>
      <c r="G48" s="104">
        <f>'Fleet totals PC-LDT1'!Q47*'Vehicle Totals'!B48+'Fleet totals LDT2'!Q47*'Vehicle Totals'!C48</f>
        <v>133973.5</v>
      </c>
      <c r="H48" s="33"/>
    </row>
    <row r="49" spans="2:4" ht="12.75">
      <c r="B49" s="33"/>
      <c r="D49" s="102"/>
    </row>
    <row r="50" spans="1:10" ht="22.5" customHeight="1">
      <c r="A50" s="183" t="s">
        <v>176</v>
      </c>
      <c r="B50" s="183"/>
      <c r="C50" s="183"/>
      <c r="D50" s="183"/>
      <c r="E50" s="183"/>
      <c r="F50" s="183"/>
      <c r="G50" s="183"/>
      <c r="H50" s="183"/>
      <c r="I50" s="183"/>
      <c r="J50" s="183"/>
    </row>
    <row r="51" spans="1:10" ht="12.75" customHeight="1">
      <c r="A51" s="150" t="s">
        <v>43</v>
      </c>
      <c r="B51" s="144" t="s">
        <v>194</v>
      </c>
      <c r="C51" s="144" t="s">
        <v>195</v>
      </c>
      <c r="D51" s="186" t="s">
        <v>35</v>
      </c>
      <c r="E51" s="150" t="s">
        <v>47</v>
      </c>
      <c r="F51" s="150" t="s">
        <v>100</v>
      </c>
      <c r="G51" s="150" t="s">
        <v>91</v>
      </c>
      <c r="H51" s="178" t="s">
        <v>199</v>
      </c>
      <c r="I51" s="178" t="s">
        <v>198</v>
      </c>
      <c r="J51" s="178" t="s">
        <v>200</v>
      </c>
    </row>
    <row r="52" spans="1:10" ht="12.75" customHeight="1">
      <c r="A52" s="150"/>
      <c r="B52" s="172"/>
      <c r="C52" s="172"/>
      <c r="D52" s="187"/>
      <c r="E52" s="150"/>
      <c r="F52" s="150"/>
      <c r="G52" s="150"/>
      <c r="H52" s="178"/>
      <c r="I52" s="178"/>
      <c r="J52" s="178"/>
    </row>
    <row r="53" spans="1:10" ht="12.75">
      <c r="A53" s="150"/>
      <c r="B53" s="145"/>
      <c r="C53" s="145"/>
      <c r="D53" s="188"/>
      <c r="E53" s="150"/>
      <c r="F53" s="150"/>
      <c r="G53" s="150"/>
      <c r="H53" s="178"/>
      <c r="I53" s="178"/>
      <c r="J53" s="178"/>
    </row>
    <row r="54" spans="1:10" ht="12.75" customHeight="1">
      <c r="A54" s="59">
        <v>2003</v>
      </c>
      <c r="B54" s="133">
        <f>+B31+B6</f>
        <v>1097397.6666666665</v>
      </c>
      <c r="C54" s="133">
        <f>C6+C31</f>
        <v>0</v>
      </c>
      <c r="D54" s="133">
        <f>B54+C54</f>
        <v>1097397.6666666665</v>
      </c>
      <c r="E54" s="133">
        <f aca="true" t="shared" si="2" ref="E54:F56">E6</f>
        <v>4420.237470824074</v>
      </c>
      <c r="F54" s="133">
        <f t="shared" si="2"/>
        <v>10193.307407407407</v>
      </c>
      <c r="G54" s="133">
        <f>G6+G31</f>
        <v>91304.825</v>
      </c>
      <c r="H54" s="127">
        <f>E54/B54</f>
        <v>0.0040279267990887</v>
      </c>
      <c r="I54" s="127">
        <f>F54/B54</f>
        <v>0.009288617715371554</v>
      </c>
      <c r="J54" s="127">
        <f>G54/B54</f>
        <v>0.08320122028082802</v>
      </c>
    </row>
    <row r="55" spans="1:10" ht="12.75">
      <c r="A55" s="59">
        <v>2004</v>
      </c>
      <c r="B55" s="133">
        <f aca="true" t="shared" si="3" ref="B55:B71">+B32+B7</f>
        <v>1097397.6666666665</v>
      </c>
      <c r="C55" s="133">
        <f aca="true" t="shared" si="4" ref="C55:C71">C7+C32</f>
        <v>0</v>
      </c>
      <c r="D55" s="133">
        <f aca="true" t="shared" si="5" ref="D55:D71">B55+C55</f>
        <v>1097397.6666666665</v>
      </c>
      <c r="E55" s="133">
        <f t="shared" si="2"/>
        <v>4420.237470824074</v>
      </c>
      <c r="F55" s="133">
        <f t="shared" si="2"/>
        <v>20386.614814814813</v>
      </c>
      <c r="G55" s="133">
        <f>G7+G32</f>
        <v>182609.65</v>
      </c>
      <c r="H55" s="127">
        <f aca="true" t="shared" si="6" ref="H55:H71">E55/B55</f>
        <v>0.0040279267990887</v>
      </c>
      <c r="I55" s="127">
        <f aca="true" t="shared" si="7" ref="I55:I71">F55/B55</f>
        <v>0.01857723543074311</v>
      </c>
      <c r="J55" s="127">
        <f aca="true" t="shared" si="8" ref="J55:J71">G55/B55</f>
        <v>0.16640244056165604</v>
      </c>
    </row>
    <row r="56" spans="1:10" ht="12.75">
      <c r="A56" s="59">
        <v>2005</v>
      </c>
      <c r="B56" s="133">
        <f t="shared" si="3"/>
        <v>1097397.6666666665</v>
      </c>
      <c r="C56" s="133">
        <f t="shared" si="4"/>
        <v>0</v>
      </c>
      <c r="D56" s="133">
        <f t="shared" si="5"/>
        <v>1097397.6666666665</v>
      </c>
      <c r="E56" s="133">
        <f t="shared" si="2"/>
        <v>4418.008385022636</v>
      </c>
      <c r="F56" s="133">
        <f t="shared" si="2"/>
        <v>24525.250905040375</v>
      </c>
      <c r="G56" s="133">
        <f>G8+G33</f>
        <v>274600.977443609</v>
      </c>
      <c r="H56" s="127">
        <f t="shared" si="6"/>
        <v>0.004025895552012871</v>
      </c>
      <c r="I56" s="127">
        <f t="shared" si="7"/>
        <v>0.022348553901645845</v>
      </c>
      <c r="J56" s="127">
        <f t="shared" si="8"/>
        <v>0.2502292339273023</v>
      </c>
    </row>
    <row r="57" spans="1:10" ht="12.75">
      <c r="A57" s="59">
        <v>2006</v>
      </c>
      <c r="B57" s="133">
        <f t="shared" si="3"/>
        <v>1254871</v>
      </c>
      <c r="C57" s="133">
        <f t="shared" si="4"/>
        <v>0</v>
      </c>
      <c r="D57" s="133">
        <f t="shared" si="5"/>
        <v>1254871</v>
      </c>
      <c r="E57" s="133">
        <f>E9</f>
        <v>6570.033682114932</v>
      </c>
      <c r="F57" s="133">
        <v>38084</v>
      </c>
      <c r="G57" s="133">
        <v>413212</v>
      </c>
      <c r="H57" s="127">
        <f t="shared" si="6"/>
        <v>0.005235624763115039</v>
      </c>
      <c r="I57" s="127">
        <f t="shared" si="7"/>
        <v>0.030348936265161917</v>
      </c>
      <c r="J57" s="127">
        <f t="shared" si="8"/>
        <v>0.32928643661380336</v>
      </c>
    </row>
    <row r="58" spans="1:10" ht="12.75">
      <c r="A58" s="59">
        <v>2007</v>
      </c>
      <c r="B58" s="133">
        <f t="shared" si="3"/>
        <v>1254871</v>
      </c>
      <c r="C58" s="133">
        <f t="shared" si="4"/>
        <v>152380.52000000002</v>
      </c>
      <c r="D58" s="133">
        <f t="shared" si="5"/>
        <v>1407251.52</v>
      </c>
      <c r="E58" s="133">
        <f>E10</f>
        <v>7360.103697183642</v>
      </c>
      <c r="F58" s="133">
        <v>42634</v>
      </c>
      <c r="G58" s="133">
        <v>463810</v>
      </c>
      <c r="H58" s="127">
        <f t="shared" si="6"/>
        <v>0.00586522733984899</v>
      </c>
      <c r="I58" s="127">
        <f t="shared" si="7"/>
        <v>0.03397480697219077</v>
      </c>
      <c r="J58" s="127">
        <f t="shared" si="8"/>
        <v>0.3696077126652859</v>
      </c>
    </row>
    <row r="59" spans="1:10" ht="12.75">
      <c r="A59" s="59">
        <v>2008</v>
      </c>
      <c r="B59" s="133">
        <f t="shared" si="3"/>
        <v>1254871</v>
      </c>
      <c r="C59" s="133">
        <f t="shared" si="4"/>
        <v>304761.04000000004</v>
      </c>
      <c r="D59" s="133">
        <f t="shared" si="5"/>
        <v>1559632.04</v>
      </c>
      <c r="E59" s="133">
        <f>E11</f>
        <v>8066.789080779858</v>
      </c>
      <c r="F59" s="133">
        <v>47184</v>
      </c>
      <c r="G59" s="133">
        <v>514407</v>
      </c>
      <c r="H59" s="127">
        <f t="shared" si="6"/>
        <v>0.006428381148962608</v>
      </c>
      <c r="I59" s="127">
        <f t="shared" si="7"/>
        <v>0.03760067767921962</v>
      </c>
      <c r="J59" s="127">
        <f t="shared" si="8"/>
        <v>0.4099281918221076</v>
      </c>
    </row>
    <row r="60" spans="1:10" ht="12.75">
      <c r="A60" s="59">
        <v>2009</v>
      </c>
      <c r="B60" s="133">
        <f t="shared" si="3"/>
        <v>1254871</v>
      </c>
      <c r="C60" s="133">
        <f t="shared" si="4"/>
        <v>457141.56000000006</v>
      </c>
      <c r="D60" s="133">
        <f t="shared" si="5"/>
        <v>1712012.56</v>
      </c>
      <c r="E60" s="133">
        <v>10788</v>
      </c>
      <c r="F60" s="133">
        <v>64667</v>
      </c>
      <c r="G60" s="133">
        <v>565005</v>
      </c>
      <c r="H60" s="127">
        <f t="shared" si="6"/>
        <v>0.008596899601632358</v>
      </c>
      <c r="I60" s="127">
        <f t="shared" si="7"/>
        <v>0.05153278703548014</v>
      </c>
      <c r="J60" s="127">
        <f t="shared" si="8"/>
        <v>0.4502494678735902</v>
      </c>
    </row>
    <row r="61" spans="1:10" ht="12.75">
      <c r="A61" s="59">
        <v>2010</v>
      </c>
      <c r="B61" s="133">
        <f t="shared" si="3"/>
        <v>1254871</v>
      </c>
      <c r="C61" s="133">
        <f t="shared" si="4"/>
        <v>609522.0800000001</v>
      </c>
      <c r="D61" s="133">
        <f t="shared" si="5"/>
        <v>1864393.08</v>
      </c>
      <c r="E61" s="133">
        <v>12020</v>
      </c>
      <c r="F61" s="133">
        <v>70354</v>
      </c>
      <c r="G61" s="133">
        <v>615603</v>
      </c>
      <c r="H61" s="127">
        <f t="shared" si="6"/>
        <v>0.009578673823843248</v>
      </c>
      <c r="I61" s="127">
        <f t="shared" si="7"/>
        <v>0.05606472697193576</v>
      </c>
      <c r="J61" s="127">
        <f t="shared" si="8"/>
        <v>0.49057074392507277</v>
      </c>
    </row>
    <row r="62" spans="1:10" ht="12.75">
      <c r="A62" s="59">
        <v>2011</v>
      </c>
      <c r="B62" s="133">
        <f t="shared" si="3"/>
        <v>1254871</v>
      </c>
      <c r="C62" s="133">
        <f t="shared" si="4"/>
        <v>761902.6</v>
      </c>
      <c r="D62" s="133">
        <f t="shared" si="5"/>
        <v>2016773.6</v>
      </c>
      <c r="E62" s="133">
        <v>13057</v>
      </c>
      <c r="F62" s="133">
        <v>76041</v>
      </c>
      <c r="G62" s="133">
        <v>666201</v>
      </c>
      <c r="H62" s="127">
        <f t="shared" si="6"/>
        <v>0.010405053587181471</v>
      </c>
      <c r="I62" s="127">
        <f t="shared" si="7"/>
        <v>0.06059666690839138</v>
      </c>
      <c r="J62" s="127">
        <f t="shared" si="8"/>
        <v>0.5308920199765553</v>
      </c>
    </row>
    <row r="63" spans="1:10" ht="12.75">
      <c r="A63" s="59">
        <v>2012</v>
      </c>
      <c r="B63" s="133">
        <f t="shared" si="3"/>
        <v>1254871</v>
      </c>
      <c r="C63" s="133">
        <f t="shared" si="4"/>
        <v>896356</v>
      </c>
      <c r="D63" s="133">
        <f t="shared" si="5"/>
        <v>2151227</v>
      </c>
      <c r="E63" s="133">
        <v>18120</v>
      </c>
      <c r="F63" s="133">
        <v>97271</v>
      </c>
      <c r="G63" s="133">
        <v>710847</v>
      </c>
      <c r="H63" s="127">
        <f t="shared" si="6"/>
        <v>0.014439731255244562</v>
      </c>
      <c r="I63" s="127">
        <f t="shared" si="7"/>
        <v>0.07751474055898973</v>
      </c>
      <c r="J63" s="127">
        <f t="shared" si="8"/>
        <v>0.5664701790064477</v>
      </c>
    </row>
    <row r="64" spans="1:10" ht="12.75">
      <c r="A64" s="59">
        <v>2013</v>
      </c>
      <c r="B64" s="133">
        <f t="shared" si="3"/>
        <v>1254871</v>
      </c>
      <c r="C64" s="133">
        <f t="shared" si="4"/>
        <v>896356</v>
      </c>
      <c r="D64" s="133">
        <f t="shared" si="5"/>
        <v>2151227</v>
      </c>
      <c r="E64" s="133">
        <v>18120</v>
      </c>
      <c r="F64" s="133">
        <v>97271</v>
      </c>
      <c r="G64" s="133">
        <v>710847</v>
      </c>
      <c r="H64" s="127">
        <f t="shared" si="6"/>
        <v>0.014439731255244562</v>
      </c>
      <c r="I64" s="127">
        <f t="shared" si="7"/>
        <v>0.07751474055898973</v>
      </c>
      <c r="J64" s="127">
        <f t="shared" si="8"/>
        <v>0.5664701790064477</v>
      </c>
    </row>
    <row r="65" spans="1:10" ht="12.75">
      <c r="A65" s="59">
        <v>2014</v>
      </c>
      <c r="B65" s="133">
        <f t="shared" si="3"/>
        <v>1254871</v>
      </c>
      <c r="C65" s="133">
        <f t="shared" si="4"/>
        <v>896356</v>
      </c>
      <c r="D65" s="133">
        <f t="shared" si="5"/>
        <v>2151227</v>
      </c>
      <c r="E65" s="133">
        <v>18120</v>
      </c>
      <c r="F65" s="133">
        <v>97271</v>
      </c>
      <c r="G65" s="133">
        <v>710847</v>
      </c>
      <c r="H65" s="127">
        <f t="shared" si="6"/>
        <v>0.014439731255244562</v>
      </c>
      <c r="I65" s="127">
        <f t="shared" si="7"/>
        <v>0.07751474055898973</v>
      </c>
      <c r="J65" s="127">
        <f t="shared" si="8"/>
        <v>0.5664701790064477</v>
      </c>
    </row>
    <row r="66" spans="1:10" ht="12.75">
      <c r="A66" s="59">
        <v>2015</v>
      </c>
      <c r="B66" s="133">
        <f t="shared" si="3"/>
        <v>1254871</v>
      </c>
      <c r="C66" s="133">
        <f t="shared" si="4"/>
        <v>896356</v>
      </c>
      <c r="D66" s="133">
        <f t="shared" si="5"/>
        <v>2151227</v>
      </c>
      <c r="E66" s="133">
        <v>24160</v>
      </c>
      <c r="F66" s="133">
        <v>129695</v>
      </c>
      <c r="G66" s="133">
        <v>710847</v>
      </c>
      <c r="H66" s="127">
        <f t="shared" si="6"/>
        <v>0.019252975006992752</v>
      </c>
      <c r="I66" s="127">
        <f t="shared" si="7"/>
        <v>0.10335325304353993</v>
      </c>
      <c r="J66" s="127">
        <f t="shared" si="8"/>
        <v>0.5664701790064477</v>
      </c>
    </row>
    <row r="67" spans="1:10" ht="12.75">
      <c r="A67" s="59">
        <v>2016</v>
      </c>
      <c r="B67" s="133">
        <f t="shared" si="3"/>
        <v>1254871</v>
      </c>
      <c r="C67" s="133">
        <f t="shared" si="4"/>
        <v>896356</v>
      </c>
      <c r="D67" s="133">
        <f t="shared" si="5"/>
        <v>2151227</v>
      </c>
      <c r="E67" s="133">
        <v>24160</v>
      </c>
      <c r="F67" s="133">
        <v>129695</v>
      </c>
      <c r="G67" s="133">
        <v>710847</v>
      </c>
      <c r="H67" s="127">
        <f t="shared" si="6"/>
        <v>0.019252975006992752</v>
      </c>
      <c r="I67" s="127">
        <f t="shared" si="7"/>
        <v>0.10335325304353993</v>
      </c>
      <c r="J67" s="127">
        <f t="shared" si="8"/>
        <v>0.5664701790064477</v>
      </c>
    </row>
    <row r="68" spans="1:10" ht="12.75">
      <c r="A68" s="59">
        <v>2017</v>
      </c>
      <c r="B68" s="133">
        <f t="shared" si="3"/>
        <v>1254871</v>
      </c>
      <c r="C68" s="133">
        <f t="shared" si="4"/>
        <v>896356</v>
      </c>
      <c r="D68" s="133">
        <f t="shared" si="5"/>
        <v>2151227</v>
      </c>
      <c r="E68" s="133">
        <v>24160</v>
      </c>
      <c r="F68" s="133">
        <v>129695</v>
      </c>
      <c r="G68" s="133">
        <v>710847</v>
      </c>
      <c r="H68" s="127">
        <f t="shared" si="6"/>
        <v>0.019252975006992752</v>
      </c>
      <c r="I68" s="127">
        <f t="shared" si="7"/>
        <v>0.10335325304353993</v>
      </c>
      <c r="J68" s="127">
        <f t="shared" si="8"/>
        <v>0.5664701790064477</v>
      </c>
    </row>
    <row r="69" spans="1:10" ht="12.75">
      <c r="A69" s="59">
        <v>2018</v>
      </c>
      <c r="B69" s="133">
        <f t="shared" si="3"/>
        <v>1254871</v>
      </c>
      <c r="C69" s="133">
        <f t="shared" si="4"/>
        <v>896356</v>
      </c>
      <c r="D69" s="133">
        <f t="shared" si="5"/>
        <v>2151227</v>
      </c>
      <c r="E69" s="133">
        <v>30200</v>
      </c>
      <c r="F69" s="133">
        <v>162119</v>
      </c>
      <c r="G69" s="133">
        <v>710847</v>
      </c>
      <c r="H69" s="127">
        <f t="shared" si="6"/>
        <v>0.02406621875874094</v>
      </c>
      <c r="I69" s="127">
        <f t="shared" si="7"/>
        <v>0.12919176552809014</v>
      </c>
      <c r="J69" s="127">
        <f t="shared" si="8"/>
        <v>0.5664701790064477</v>
      </c>
    </row>
    <row r="70" spans="1:10" ht="12.75">
      <c r="A70" s="59">
        <v>2019</v>
      </c>
      <c r="B70" s="133">
        <f t="shared" si="3"/>
        <v>1254871</v>
      </c>
      <c r="C70" s="133">
        <f t="shared" si="4"/>
        <v>896356</v>
      </c>
      <c r="D70" s="133">
        <f t="shared" si="5"/>
        <v>2151227</v>
      </c>
      <c r="E70" s="133">
        <v>30200</v>
      </c>
      <c r="F70" s="133">
        <v>162119</v>
      </c>
      <c r="G70" s="133">
        <v>710847</v>
      </c>
      <c r="H70" s="127">
        <f t="shared" si="6"/>
        <v>0.02406621875874094</v>
      </c>
      <c r="I70" s="127">
        <f t="shared" si="7"/>
        <v>0.12919176552809014</v>
      </c>
      <c r="J70" s="127">
        <f t="shared" si="8"/>
        <v>0.5664701790064477</v>
      </c>
    </row>
    <row r="71" spans="1:10" ht="12.75">
      <c r="A71" s="59">
        <v>2020</v>
      </c>
      <c r="B71" s="133">
        <f t="shared" si="3"/>
        <v>1254871</v>
      </c>
      <c r="C71" s="133">
        <f t="shared" si="4"/>
        <v>896356</v>
      </c>
      <c r="D71" s="133">
        <f t="shared" si="5"/>
        <v>2151227</v>
      </c>
      <c r="E71" s="133">
        <v>30200</v>
      </c>
      <c r="F71" s="133">
        <v>162119</v>
      </c>
      <c r="G71" s="133">
        <v>710847</v>
      </c>
      <c r="H71" s="127">
        <f t="shared" si="6"/>
        <v>0.02406621875874094</v>
      </c>
      <c r="I71" s="127">
        <f t="shared" si="7"/>
        <v>0.12919176552809014</v>
      </c>
      <c r="J71" s="127">
        <f t="shared" si="8"/>
        <v>0.5664701790064477</v>
      </c>
    </row>
    <row r="72" spans="1:7" ht="12.75">
      <c r="A72" s="1" t="s">
        <v>35</v>
      </c>
      <c r="B72" s="134">
        <f aca="true" t="shared" si="9" ref="B72:G72">SUM(B54:B71)</f>
        <v>22115258</v>
      </c>
      <c r="C72" s="133">
        <f t="shared" si="9"/>
        <v>10352911.8</v>
      </c>
      <c r="D72" s="134">
        <f t="shared" si="9"/>
        <v>32468169.799999997</v>
      </c>
      <c r="E72" s="134">
        <f t="shared" si="9"/>
        <v>288560.4097867492</v>
      </c>
      <c r="F72" s="134">
        <f t="shared" si="9"/>
        <v>1561324.1731272626</v>
      </c>
      <c r="G72" s="134">
        <f t="shared" si="9"/>
        <v>10184376.452443609</v>
      </c>
    </row>
  </sheetData>
  <mergeCells count="25">
    <mergeCell ref="D3:D5"/>
    <mergeCell ref="A3:A5"/>
    <mergeCell ref="B3:B5"/>
    <mergeCell ref="A28:A30"/>
    <mergeCell ref="B28:B30"/>
    <mergeCell ref="D28:D30"/>
    <mergeCell ref="D51:D53"/>
    <mergeCell ref="E51:E53"/>
    <mergeCell ref="F51:F53"/>
    <mergeCell ref="G51:G53"/>
    <mergeCell ref="C28:C30"/>
    <mergeCell ref="C3:C5"/>
    <mergeCell ref="A51:A53"/>
    <mergeCell ref="B51:B53"/>
    <mergeCell ref="C51:C53"/>
    <mergeCell ref="A1:G1"/>
    <mergeCell ref="H51:H53"/>
    <mergeCell ref="I51:I53"/>
    <mergeCell ref="A50:J50"/>
    <mergeCell ref="E3:E5"/>
    <mergeCell ref="F3:F5"/>
    <mergeCell ref="G3:G5"/>
    <mergeCell ref="G28:G30"/>
    <mergeCell ref="A27:G27"/>
    <mergeCell ref="J51:J53"/>
  </mergeCells>
  <printOptions/>
  <pageMargins left="0.21" right="0.18" top="0.45" bottom="0.2" header="0.17" footer="0.19"/>
  <pageSetup fitToHeight="1" fitToWidth="1" orientation="portrait" scale="69" r:id="rId2"/>
  <headerFooter alignWithMargins="0">
    <oddHeader>&amp;C&amp;"Arial,Bold"&amp;20Vehicle Totals</oddHeader>
    <oddFooter>&amp;L&amp;F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5211">
    <pageSetUpPr fitToPage="1"/>
  </sheetPr>
  <dimension ref="A1:O72"/>
  <sheetViews>
    <sheetView tabSelected="1" view="pageBreakPreview" zoomScale="60" zoomScaleNormal="66" workbookViewId="0" topLeftCell="A35">
      <selection activeCell="L43" sqref="L43"/>
    </sheetView>
  </sheetViews>
  <sheetFormatPr defaultColWidth="9.140625" defaultRowHeight="12.75"/>
  <cols>
    <col min="1" max="1" width="10.57421875" style="0" customWidth="1"/>
    <col min="2" max="2" width="13.57421875" style="0" customWidth="1"/>
    <col min="3" max="3" width="12.28125" style="0" customWidth="1"/>
    <col min="4" max="4" width="13.421875" style="0" customWidth="1"/>
    <col min="5" max="5" width="11.00390625" style="0" customWidth="1"/>
    <col min="6" max="6" width="11.8515625" style="0" customWidth="1"/>
    <col min="7" max="7" width="14.57421875" style="0" customWidth="1"/>
    <col min="8" max="8" width="18.8515625" style="0" customWidth="1"/>
    <col min="9" max="9" width="20.140625" style="0" customWidth="1"/>
    <col min="10" max="10" width="20.8515625" style="0" customWidth="1"/>
  </cols>
  <sheetData>
    <row r="1" spans="1:10" ht="26.25" customHeight="1">
      <c r="A1" s="182" t="s">
        <v>174</v>
      </c>
      <c r="B1" s="182"/>
      <c r="C1" s="182"/>
      <c r="D1" s="182"/>
      <c r="E1" s="182"/>
      <c r="F1" s="182"/>
      <c r="G1" s="182"/>
      <c r="H1" s="122"/>
      <c r="I1" s="122"/>
      <c r="J1" s="122"/>
    </row>
    <row r="3" spans="1:7" ht="12.75">
      <c r="A3" s="150" t="s">
        <v>43</v>
      </c>
      <c r="B3" s="144" t="s">
        <v>194</v>
      </c>
      <c r="C3" s="144" t="s">
        <v>195</v>
      </c>
      <c r="D3" s="186" t="s">
        <v>35</v>
      </c>
      <c r="E3" s="150" t="s">
        <v>47</v>
      </c>
      <c r="F3" s="150" t="s">
        <v>100</v>
      </c>
      <c r="G3" s="150" t="s">
        <v>91</v>
      </c>
    </row>
    <row r="4" spans="1:7" ht="12.75" customHeight="1">
      <c r="A4" s="150"/>
      <c r="B4" s="172"/>
      <c r="C4" s="172"/>
      <c r="D4" s="187"/>
      <c r="E4" s="150"/>
      <c r="F4" s="150"/>
      <c r="G4" s="150"/>
    </row>
    <row r="5" spans="1:7" ht="12.75">
      <c r="A5" s="150"/>
      <c r="B5" s="145"/>
      <c r="C5" s="145"/>
      <c r="D5" s="188"/>
      <c r="E5" s="150"/>
      <c r="F5" s="150"/>
      <c r="G5" s="150"/>
    </row>
    <row r="6" spans="1:15" ht="12.75">
      <c r="A6" s="59">
        <v>2003</v>
      </c>
      <c r="B6" s="133">
        <f>B54*'Fleet totals PC-LDT1'!C5</f>
        <v>914798.0612266657</v>
      </c>
      <c r="C6" s="59">
        <v>0</v>
      </c>
      <c r="D6" s="104">
        <f aca="true" t="shared" si="0" ref="D6:D23">B6+C6</f>
        <v>914798.0612266657</v>
      </c>
      <c r="E6" s="104">
        <f>B6*'Fleet totals PC-LDT1'!G5+C6*'Fleet totals LDT2'!H5</f>
        <v>4407.711961121175</v>
      </c>
      <c r="F6" s="104">
        <f>'Fleet totals PC-LDT1'!L5*'Vehicle Totals EMFAC2000'!B6+'Fleet totals LDT2'!M5*'Vehicle Totals EMFAC2000'!C6</f>
        <v>10164.422902518509</v>
      </c>
      <c r="G6" s="104">
        <f>'Fleet totals PC-LDT1'!Q5*'Vehicle Totals EMFAC2000'!B6+'Fleet totals LDT2'!R5*'Vehicle Totals EMFAC2000'!C6</f>
        <v>68609.85459199993</v>
      </c>
      <c r="I6" t="s">
        <v>201</v>
      </c>
      <c r="O6" s="33"/>
    </row>
    <row r="7" spans="1:7" ht="12.75">
      <c r="A7" s="59">
        <v>2004</v>
      </c>
      <c r="B7" s="133">
        <f>B55*'Fleet totals PC-LDT1'!C6</f>
        <v>946763.2600291054</v>
      </c>
      <c r="C7" s="59">
        <v>0</v>
      </c>
      <c r="D7" s="104">
        <f t="shared" si="0"/>
        <v>946763.2600291054</v>
      </c>
      <c r="E7" s="104">
        <f>B7*'Fleet totals PC-LDT1'!G6+C7*'Fleet totals LDT2'!H6</f>
        <v>4561.727798137929</v>
      </c>
      <c r="F7" s="104">
        <f>'Fleet totals PC-LDT1'!L6*'Vehicle Totals EMFAC2000'!B7+'Fleet totals LDT2'!M6*'Vehicle Totals EMFAC2000'!C7</f>
        <v>21039.18355620234</v>
      </c>
      <c r="G7" s="104">
        <f>'Fleet totals PC-LDT1'!Q6*'Vehicle Totals EMFAC2000'!B7+'Fleet totals LDT2'!R6*'Vehicle Totals EMFAC2000'!C7</f>
        <v>142014.4890043658</v>
      </c>
    </row>
    <row r="8" spans="1:7" ht="12.75">
      <c r="A8" s="59">
        <v>2005</v>
      </c>
      <c r="B8" s="133">
        <f>B56*'Fleet totals PC-LDT1'!C7</f>
        <v>971430.3918925775</v>
      </c>
      <c r="C8" s="59">
        <v>0</v>
      </c>
      <c r="D8" s="104">
        <f t="shared" si="0"/>
        <v>971430.3918925775</v>
      </c>
      <c r="E8" s="104">
        <f>B8*'Fleet totals PC-LDT1'!G7+C8*'Fleet totals LDT2'!H7</f>
        <v>4678.21946009662</v>
      </c>
      <c r="F8" s="104">
        <f>'Fleet totals PC-LDT1'!L7*'Vehicle Totals EMFAC2000'!B8+'Fleet totals LDT2'!M7*'Vehicle Totals EMFAC2000'!C8</f>
        <v>25969.734787437326</v>
      </c>
      <c r="G8" s="104">
        <f>'Fleet totals PC-LDT1'!Q7*'Vehicle Totals EMFAC2000'!B8+'Fleet totals LDT2'!R7*'Vehicle Totals EMFAC2000'!C8</f>
        <v>219119.63726900244</v>
      </c>
    </row>
    <row r="9" spans="1:7" ht="12.75">
      <c r="A9" s="59">
        <v>2006</v>
      </c>
      <c r="B9" s="133">
        <f>B57*'Fleet totals PC-LDT1'!C8</f>
        <v>1055108.4383303144</v>
      </c>
      <c r="C9" s="104">
        <f>Sales!F65</f>
        <v>0</v>
      </c>
      <c r="D9" s="104">
        <f t="shared" si="0"/>
        <v>1055108.4383303144</v>
      </c>
      <c r="E9" s="104">
        <f>B9*'Fleet totals PC-LDT1'!G8+C9*'Fleet totals LDT2'!H8</f>
        <v>6131.539636954521</v>
      </c>
      <c r="F9" s="104">
        <f>'Fleet totals PC-LDT1'!L8*'Vehicle Totals EMFAC2000'!B9+'Fleet totals LDT2'!M8*'Vehicle Totals EMFAC2000'!C9</f>
        <v>37514.96669618895</v>
      </c>
      <c r="G9" s="104">
        <f>'Fleet totals PC-LDT1'!Q8*'Vehicle Totals EMFAC2000'!B9+'Fleet totals LDT2'!R8*'Vehicle Totals EMFAC2000'!C9</f>
        <v>316532.5314990943</v>
      </c>
    </row>
    <row r="10" spans="1:7" ht="12.75">
      <c r="A10" s="59">
        <v>2007</v>
      </c>
      <c r="B10" s="133">
        <f>B58*'Fleet totals PC-LDT1'!C9</f>
        <v>1070749.6648818883</v>
      </c>
      <c r="C10" s="104">
        <f>C58*'Fleet totals LDT2'!C9/0.17</f>
        <v>56113.34045316816</v>
      </c>
      <c r="D10" s="104">
        <f t="shared" si="0"/>
        <v>1126863.0053350565</v>
      </c>
      <c r="E10" s="104">
        <f>B10*'Fleet totals PC-LDT1'!G9+C10*'Fleet totals LDT2'!H9</f>
        <v>6590.114480764063</v>
      </c>
      <c r="F10" s="104">
        <f>'Fleet totals PC-LDT1'!L9*'Vehicle Totals EMFAC2000'!B10+'Fleet totals LDT2'!M9*'Vehicle Totals EMFAC2000'!C10</f>
        <v>40066.2401896909</v>
      </c>
      <c r="G10" s="104">
        <f>'Fleet totals PC-LDT1'!Q9*'Vehicle Totals EMFAC2000'!B10+'Fleet totals LDT2'!R9*'Vehicle Totals EMFAC2000'!C10</f>
        <v>338058.9016005169</v>
      </c>
    </row>
    <row r="11" spans="1:7" ht="12.75">
      <c r="A11" s="59">
        <v>2008</v>
      </c>
      <c r="B11" s="133">
        <f>B59*'Fleet totals PC-LDT1'!C10</f>
        <v>1084086.2858508963</v>
      </c>
      <c r="C11" s="104">
        <f>C59*'Fleet totals LDT2'!C10/0.34</f>
        <v>115584.91301643546</v>
      </c>
      <c r="D11" s="104">
        <f t="shared" si="0"/>
        <v>1199671.1988673317</v>
      </c>
      <c r="E11" s="104">
        <f>B11*'Fleet totals PC-LDT1'!G10+C11*'Fleet totals LDT2'!H10</f>
        <v>6979.864547167534</v>
      </c>
      <c r="F11" s="104">
        <f>'Fleet totals PC-LDT1'!L10*'Vehicle Totals EMFAC2000'!B11+'Fleet totals LDT2'!M10*'Vehicle Totals EMFAC2000'!C11</f>
        <v>42654.97595972735</v>
      </c>
      <c r="G11" s="104">
        <f>'Fleet totals PC-LDT1'!Q10*'Vehicle Totals EMFAC2000'!B11+'Fleet totals LDT2'!R10*'Vehicle Totals EMFAC2000'!C11</f>
        <v>359901.3596601995</v>
      </c>
    </row>
    <row r="12" spans="1:7" ht="12.75">
      <c r="A12" s="59">
        <v>2009</v>
      </c>
      <c r="B12" s="133">
        <f>B60*'Fleet totals PC-LDT1'!C11</f>
        <v>1097201.2754777183</v>
      </c>
      <c r="C12" s="104">
        <f>C60*'Fleet totals LDT2'!C11/0.51</f>
        <v>177032.25213317032</v>
      </c>
      <c r="D12" s="104">
        <f t="shared" si="0"/>
        <v>1274233.5276108887</v>
      </c>
      <c r="E12" s="104">
        <f>B12*'Fleet totals PC-LDT1'!G11+C12*'Fleet totals LDT2'!H11</f>
        <v>9682.448741242402</v>
      </c>
      <c r="F12" s="104">
        <f>'Fleet totals PC-LDT1'!L11*'Vehicle Totals EMFAC2000'!B12+'Fleet totals LDT2'!M11*'Vehicle Totals EMFAC2000'!C12</f>
        <v>56632.601227150604</v>
      </c>
      <c r="G12" s="104">
        <f>'Fleet totals PC-LDT1'!Q11*'Vehicle Totals EMFAC2000'!B12+'Fleet totals LDT2'!R11*'Vehicle Totals EMFAC2000'!C12</f>
        <v>382270.05828326655</v>
      </c>
    </row>
    <row r="13" spans="1:7" ht="12.75">
      <c r="A13" s="59">
        <v>2010</v>
      </c>
      <c r="B13" s="133">
        <f>B61*'Fleet totals PC-LDT1'!C12</f>
        <v>1108169.3240946678</v>
      </c>
      <c r="C13" s="104">
        <f>C61*'Fleet totals LDT2'!C12/0.68</f>
        <v>242716.0687239445</v>
      </c>
      <c r="D13" s="104">
        <f t="shared" si="0"/>
        <v>1350885.3928186123</v>
      </c>
      <c r="E13" s="104">
        <f>B13*'Fleet totals PC-LDT1'!G12+C13*'Fleet totals LDT2'!H12</f>
        <v>10494.602764350613</v>
      </c>
      <c r="F13" s="104">
        <f>'Fleet totals PC-LDT1'!L12*'Vehicle Totals EMFAC2000'!B13+'Fleet totals LDT2'!M12*'Vehicle Totals EMFAC2000'!C13</f>
        <v>60039.35079193833</v>
      </c>
      <c r="G13" s="104">
        <f>'Fleet totals PC-LDT1'!Q12*'Vehicle Totals EMFAC2000'!B13+'Fleet totals LDT2'!R12*'Vehicle Totals EMFAC2000'!C13</f>
        <v>405265.61784558365</v>
      </c>
    </row>
    <row r="14" spans="1:7" ht="12.75">
      <c r="A14" s="59">
        <v>2011</v>
      </c>
      <c r="B14" s="133">
        <f>B62*'Fleet totals PC-LDT1'!C13</f>
        <v>1108387.3516751921</v>
      </c>
      <c r="C14" s="104">
        <f>C62*'Fleet totals LDT2'!C13/0.85</f>
        <v>312418.08626706357</v>
      </c>
      <c r="D14" s="104">
        <f t="shared" si="0"/>
        <v>1420805.4379422558</v>
      </c>
      <c r="E14" s="104">
        <f>B14*'Fleet totals PC-LDT1'!G13+C14*'Fleet totals LDT2'!H13</f>
        <v>11071.953187806263</v>
      </c>
      <c r="F14" s="104">
        <f>'Fleet totals PC-LDT1'!L13*'Vehicle Totals EMFAC2000'!B14+'Fleet totals LDT2'!M13*'Vehicle Totals EMFAC2000'!C14</f>
        <v>63146.90835298914</v>
      </c>
      <c r="G14" s="104">
        <f>'Fleet totals PC-LDT1'!Q13*'Vehicle Totals EMFAC2000'!B14+'Fleet totals LDT2'!R13*'Vehicle Totals EMFAC2000'!C14</f>
        <v>426241.6313826767</v>
      </c>
    </row>
    <row r="15" spans="1:7" ht="12.75">
      <c r="A15" s="59">
        <v>2012</v>
      </c>
      <c r="B15" s="133">
        <f>B63*'Fleet totals PC-LDT1'!C14</f>
        <v>1118685.100623092</v>
      </c>
      <c r="C15" s="104">
        <f>C63*'Fleet totals LDT2'!C14</f>
        <v>378365.84504817287</v>
      </c>
      <c r="D15" s="104">
        <f t="shared" si="0"/>
        <v>1497050.9456712648</v>
      </c>
      <c r="E15" s="104">
        <f>B15*'Fleet totals PC-LDT1'!G14+C15*'Fleet totals LDT2'!H14</f>
        <v>15156.167177610176</v>
      </c>
      <c r="F15" s="104">
        <f>'Fleet totals PC-LDT1'!L14*'Vehicle Totals EMFAC2000'!B15+'Fleet totals LDT2'!M14*'Vehicle Totals EMFAC2000'!C15</f>
        <v>79842.71710246745</v>
      </c>
      <c r="G15" s="104">
        <f>'Fleet totals PC-LDT1'!Q14*'Vehicle Totals EMFAC2000'!B15+'Fleet totals LDT2'!R14*'Vehicle Totals EMFAC2000'!C15</f>
        <v>449115.28370137943</v>
      </c>
    </row>
    <row r="16" spans="1:7" ht="12.75">
      <c r="A16" s="59">
        <v>2013</v>
      </c>
      <c r="B16" s="133">
        <f>B64*'Fleet totals PC-LDT1'!C15</f>
        <v>1125278.1825829109</v>
      </c>
      <c r="C16" s="104">
        <f>C64*'Fleet totals LDT2'!C15</f>
        <v>390072.8161132407</v>
      </c>
      <c r="D16" s="104">
        <f t="shared" si="0"/>
        <v>1515350.9986961517</v>
      </c>
      <c r="E16" s="104">
        <f>B16*'Fleet totals PC-LDT1'!G15+C16*'Fleet totals LDT2'!H15</f>
        <v>15341.437200521756</v>
      </c>
      <c r="F16" s="104">
        <f>'Fleet totals PC-LDT1'!L15*'Vehicle Totals EMFAC2000'!B16+'Fleet totals LDT2'!M15*'Vehicle Totals EMFAC2000'!C16</f>
        <v>80818.71993046142</v>
      </c>
      <c r="G16" s="104">
        <f>'Fleet totals PC-LDT1'!Q15*'Vehicle Totals EMFAC2000'!B16+'Fleet totals LDT2'!R15*'Vehicle Totals EMFAC2000'!C16</f>
        <v>454605.2996088455</v>
      </c>
    </row>
    <row r="17" spans="1:7" ht="12.75">
      <c r="A17" s="59">
        <v>2014</v>
      </c>
      <c r="B17" s="133">
        <f>B65*'Fleet totals PC-LDT1'!C16</f>
        <v>1135965.137790259</v>
      </c>
      <c r="C17" s="104">
        <f>C65*'Fleet totals LDT2'!C16</f>
        <v>395781.444568899</v>
      </c>
      <c r="D17" s="104">
        <f t="shared" si="0"/>
        <v>1531746.582359158</v>
      </c>
      <c r="E17" s="104">
        <f>B17*'Fleet totals PC-LDT1'!G16+C17*'Fleet totals LDT2'!H16</f>
        <v>15507.426345840784</v>
      </c>
      <c r="F17" s="104">
        <f>'Fleet totals PC-LDT1'!L16*'Vehicle Totals EMFAC2000'!B17+'Fleet totals LDT2'!M16*'Vehicle Totals EMFAC2000'!C17</f>
        <v>81693.15105915509</v>
      </c>
      <c r="G17" s="104">
        <f>'Fleet totals PC-LDT1'!Q16*'Vehicle Totals EMFAC2000'!B17+'Fleet totals LDT2'!R16*'Vehicle Totals EMFAC2000'!C17</f>
        <v>459523.97470774734</v>
      </c>
    </row>
    <row r="18" spans="1:7" ht="12.75">
      <c r="A18" s="59">
        <v>2015</v>
      </c>
      <c r="B18" s="133">
        <f>B66*'Fleet totals PC-LDT1'!C17</f>
        <v>1145913.3218569877</v>
      </c>
      <c r="C18" s="104">
        <f>C66*'Fleet totals LDT2'!C17</f>
        <v>402751.3792823387</v>
      </c>
      <c r="D18" s="104">
        <f t="shared" si="0"/>
        <v>1548664.7011393264</v>
      </c>
      <c r="E18" s="104">
        <f>B18*'Fleet totals PC-LDT1'!G17+C18*'Fleet totals LDT2'!H17</f>
        <v>20904.940859806447</v>
      </c>
      <c r="F18" s="104">
        <f>'Fleet totals PC-LDT1'!L17*'Vehicle Totals EMFAC2000'!B18+'Fleet totals LDT2'!M17*'Vehicle Totals EMFAC2000'!C18</f>
        <v>110127.26763657431</v>
      </c>
      <c r="G18" s="104">
        <f>'Fleet totals PC-LDT1'!Q17*'Vehicle Totals EMFAC2000'!B18+'Fleet totals LDT2'!R17*'Vehicle Totals EMFAC2000'!C18</f>
        <v>464599.4103417979</v>
      </c>
    </row>
    <row r="19" spans="1:7" ht="12.75">
      <c r="A19" s="59">
        <v>2016</v>
      </c>
      <c r="B19" s="133">
        <f>B67*'Fleet totals PC-LDT1'!C18</f>
        <v>1151714.4771916794</v>
      </c>
      <c r="C19" s="104">
        <f>C67*'Fleet totals LDT2'!C18</f>
        <v>406138.0957521342</v>
      </c>
      <c r="D19" s="104">
        <f t="shared" si="0"/>
        <v>1557852.5729438136</v>
      </c>
      <c r="E19" s="104">
        <f>B19*'Fleet totals PC-LDT1'!G18+C19*'Fleet totals LDT2'!H18</f>
        <v>21028.965070185222</v>
      </c>
      <c r="F19" s="104">
        <f>'Fleet totals PC-LDT1'!L18*'Vehicle Totals EMFAC2000'!B19+'Fleet totals LDT2'!M18*'Vehicle Totals EMFAC2000'!C19</f>
        <v>110780.62740933786</v>
      </c>
      <c r="G19" s="104">
        <f>'Fleet totals PC-LDT1'!Q18*'Vehicle Totals EMFAC2000'!B19+'Fleet totals LDT2'!R18*'Vehicle Totals EMFAC2000'!C19</f>
        <v>467355.77188314404</v>
      </c>
    </row>
    <row r="20" spans="1:7" ht="12.75">
      <c r="A20" s="59">
        <v>2017</v>
      </c>
      <c r="B20" s="133">
        <f>B68*'Fleet totals PC-LDT1'!C19</f>
        <v>1165729.5062934756</v>
      </c>
      <c r="C20" s="104">
        <f>C68*'Fleet totals LDT2'!C19</f>
        <v>412554.63444435026</v>
      </c>
      <c r="D20" s="104">
        <f t="shared" si="0"/>
        <v>1578284.140737826</v>
      </c>
      <c r="E20" s="104">
        <f>B20*'Fleet totals PC-LDT1'!G19+C20*'Fleet totals LDT2'!H19</f>
        <v>21304.764419193907</v>
      </c>
      <c r="F20" s="104">
        <f>'Fleet totals PC-LDT1'!L19*'Vehicle Totals EMFAC2000'!B20+'Fleet totals LDT2'!M19*'Vehicle Totals EMFAC2000'!C20</f>
        <v>112233.53889691205</v>
      </c>
      <c r="G20" s="104">
        <f>'Fleet totals PC-LDT1'!Q19*'Vehicle Totals EMFAC2000'!B20+'Fleet totals LDT2'!R19*'Vehicle Totals EMFAC2000'!C20</f>
        <v>473485.24222134775</v>
      </c>
    </row>
    <row r="21" spans="1:7" ht="12.75">
      <c r="A21" s="59">
        <v>2018</v>
      </c>
      <c r="B21" s="133">
        <f>B69*'Fleet totals PC-LDT1'!C20</f>
        <v>1181761.7409853283</v>
      </c>
      <c r="C21" s="104">
        <f>C69*'Fleet totals LDT2'!C20</f>
        <v>419103.85382147273</v>
      </c>
      <c r="D21" s="104">
        <f t="shared" si="0"/>
        <v>1600865.594806801</v>
      </c>
      <c r="E21" s="104">
        <f>B21*'Fleet totals PC-LDT1'!G20+C21*'Fleet totals LDT2'!H20</f>
        <v>27011.980514015297</v>
      </c>
      <c r="F21" s="104">
        <f>'Fleet totals PC-LDT1'!L20*'Vehicle Totals EMFAC2000'!B21+'Fleet totals LDT2'!M20*'Vehicle Totals EMFAC2000'!C21</f>
        <v>142299.16398282675</v>
      </c>
      <c r="G21" s="104">
        <f>'Fleet totals PC-LDT1'!Q20*'Vehicle Totals EMFAC2000'!B21+'Fleet totals LDT2'!R20*'Vehicle Totals EMFAC2000'!C21</f>
        <v>480259.6784420403</v>
      </c>
    </row>
    <row r="22" spans="1:7" ht="12.75">
      <c r="A22" s="59">
        <v>2019</v>
      </c>
      <c r="B22" s="133">
        <f>B70*'Fleet totals PC-LDT1'!C21</f>
        <v>1194997.4566278127</v>
      </c>
      <c r="C22" s="104">
        <f>C70*'Fleet totals LDT2'!C21</f>
        <v>425734.5290621137</v>
      </c>
      <c r="D22" s="104">
        <f t="shared" si="0"/>
        <v>1620731.9856899264</v>
      </c>
      <c r="E22" s="104">
        <f>B22*'Fleet totals PC-LDT1'!G21+C22*'Fleet totals LDT2'!H21</f>
        <v>27347.193267140618</v>
      </c>
      <c r="F22" s="104">
        <f>'Fleet totals PC-LDT1'!L21*'Vehicle Totals EMFAC2000'!B22+'Fleet totals LDT2'!M21*'Vehicle Totals EMFAC2000'!C22</f>
        <v>144065.06539466014</v>
      </c>
      <c r="G22" s="104">
        <f>'Fleet totals PC-LDT1'!Q21*'Vehicle Totals EMFAC2000'!B22+'Fleet totals LDT2'!R21*'Vehicle Totals EMFAC2000'!C22</f>
        <v>486219.59570697794</v>
      </c>
    </row>
    <row r="23" spans="1:7" ht="12.75">
      <c r="A23" s="59">
        <v>2020</v>
      </c>
      <c r="B23" s="133">
        <f>B71*'Fleet totals PC-LDT1'!C22</f>
        <v>1205440.2569825903</v>
      </c>
      <c r="C23" s="104">
        <f>C71*'Fleet totals LDT2'!C22</f>
        <v>428419.2135535435</v>
      </c>
      <c r="D23" s="104">
        <f t="shared" si="0"/>
        <v>1633859.4705361337</v>
      </c>
      <c r="E23" s="104">
        <f>B23*'Fleet totals PC-LDT1'!G22+C23*'Fleet totals LDT2'!H22</f>
        <v>27568.698036819034</v>
      </c>
      <c r="F23" s="104">
        <f>'Fleet totals PC-LDT1'!L22*'Vehicle Totals EMFAC2000'!B23+'Fleet totals LDT2'!M22*'Vehicle Totals EMFAC2000'!C23</f>
        <v>145231.95293654525</v>
      </c>
      <c r="G23" s="104">
        <f>'Fleet totals PC-LDT1'!Q22*'Vehicle Totals EMFAC2000'!B23+'Fleet totals LDT2'!R22*'Vehicle Totals EMFAC2000'!C23</f>
        <v>490157.8411608401</v>
      </c>
    </row>
    <row r="24" spans="2:4" ht="12.75">
      <c r="B24" s="33"/>
      <c r="D24" t="s">
        <v>40</v>
      </c>
    </row>
    <row r="25" spans="1:2" ht="12.75">
      <c r="A25" t="s">
        <v>40</v>
      </c>
      <c r="B25" s="33" t="s">
        <v>40</v>
      </c>
    </row>
    <row r="26" ht="12.75">
      <c r="B26" s="33"/>
    </row>
    <row r="27" spans="1:7" ht="25.5" customHeight="1">
      <c r="A27" s="184" t="s">
        <v>175</v>
      </c>
      <c r="B27" s="185"/>
      <c r="C27" s="185"/>
      <c r="D27" s="185"/>
      <c r="E27" s="185"/>
      <c r="F27" s="185"/>
      <c r="G27" s="185"/>
    </row>
    <row r="28" spans="1:7" ht="12.75">
      <c r="A28" s="150" t="s">
        <v>43</v>
      </c>
      <c r="B28" s="144" t="s">
        <v>194</v>
      </c>
      <c r="C28" s="144" t="s">
        <v>195</v>
      </c>
      <c r="D28" s="186" t="s">
        <v>35</v>
      </c>
      <c r="G28" s="150" t="s">
        <v>91</v>
      </c>
    </row>
    <row r="29" spans="1:7" ht="12.75" customHeight="1">
      <c r="A29" s="150"/>
      <c r="B29" s="172"/>
      <c r="C29" s="172"/>
      <c r="D29" s="187"/>
      <c r="G29" s="150"/>
    </row>
    <row r="30" spans="1:7" ht="12.75">
      <c r="A30" s="150"/>
      <c r="B30" s="145"/>
      <c r="C30" s="145"/>
      <c r="D30" s="188"/>
      <c r="G30" s="150"/>
    </row>
    <row r="31" spans="1:10" ht="12.75">
      <c r="A31" s="59">
        <v>2003</v>
      </c>
      <c r="B31" s="104">
        <f>B54*'Fleet totals PC-LDT1'!C30</f>
        <v>179489.9387733344</v>
      </c>
      <c r="C31" s="104">
        <f>'Fleet totals LDT2'!B30</f>
        <v>0</v>
      </c>
      <c r="D31" s="104">
        <f>B31+C31</f>
        <v>179489.9387733344</v>
      </c>
      <c r="G31" s="104">
        <f>'Fleet totals PC-LDT1'!Q30*B31+'Fleet totals LDT2'!Q30*C31</f>
        <v>22436.2423466668</v>
      </c>
      <c r="H31" s="33"/>
      <c r="J31" s="33"/>
    </row>
    <row r="32" spans="1:10" ht="12.75">
      <c r="A32" s="59">
        <v>2004</v>
      </c>
      <c r="B32" s="104">
        <f>B55*'Fleet totals PC-LDT1'!C31</f>
        <v>185761.73997089482</v>
      </c>
      <c r="C32" s="104">
        <f>'Fleet totals LDT2'!B31</f>
        <v>0</v>
      </c>
      <c r="D32" s="104">
        <f aca="true" t="shared" si="1" ref="D32:D48">B32+C32</f>
        <v>185761.73997089482</v>
      </c>
      <c r="G32" s="104">
        <f>'Fleet totals PC-LDT1'!Q31*'Vehicle Totals EMFAC2000'!B32+'Fleet totals LDT2'!Q31*'Vehicle Totals EMFAC2000'!C32</f>
        <v>46440.434992723705</v>
      </c>
      <c r="H32" s="33"/>
      <c r="J32" s="33"/>
    </row>
    <row r="33" spans="1:10" ht="12.75">
      <c r="A33" s="59">
        <v>2005</v>
      </c>
      <c r="B33" s="104">
        <f>B56*'Fleet totals PC-LDT1'!C32</f>
        <v>190601.60810742265</v>
      </c>
      <c r="C33" s="104">
        <f>'Fleet totals LDT2'!B32</f>
        <v>0</v>
      </c>
      <c r="D33" s="104">
        <f t="shared" si="1"/>
        <v>190601.60810742265</v>
      </c>
      <c r="G33" s="104">
        <f>'Fleet totals PC-LDT1'!Q32*'Vehicle Totals EMFAC2000'!B33+'Fleet totals LDT2'!Q32*'Vehicle Totals EMFAC2000'!C33</f>
        <v>71654.73989000851</v>
      </c>
      <c r="H33" s="33"/>
      <c r="J33" s="33"/>
    </row>
    <row r="34" spans="1:10" ht="12.75">
      <c r="A34" s="59">
        <v>2006</v>
      </c>
      <c r="B34" s="104">
        <f>B57*'Fleet totals PC-LDT1'!C33</f>
        <v>116010.56166968556</v>
      </c>
      <c r="C34" s="104">
        <f>'Fleet totals LDT2'!B33</f>
        <v>0</v>
      </c>
      <c r="D34" s="104">
        <f t="shared" si="1"/>
        <v>116010.56166968556</v>
      </c>
      <c r="G34" s="104">
        <f>'Fleet totals PC-LDT1'!Q33*'Vehicle Totals EMFAC2000'!B34+'Fleet totals LDT2'!Q33*'Vehicle Totals EMFAC2000'!C34</f>
        <v>58005.28083484278</v>
      </c>
      <c r="H34" s="33"/>
      <c r="J34" s="33"/>
    </row>
    <row r="35" spans="1:10" ht="12.75">
      <c r="A35" s="59">
        <v>2007</v>
      </c>
      <c r="B35" s="104">
        <f>B58*'Fleet totals PC-LDT1'!C34</f>
        <v>117730.33511811173</v>
      </c>
      <c r="C35" s="104">
        <f>C58*'Fleet totals LDT2'!C34/0.17</f>
        <v>10708.049546831837</v>
      </c>
      <c r="D35" s="104">
        <f t="shared" si="1"/>
        <v>128438.38466494357</v>
      </c>
      <c r="G35" s="104">
        <f>'Fleet totals PC-LDT1'!Q34*'Vehicle Totals EMFAC2000'!B35+'Fleet totals LDT2'!Q34*'Vehicle Totals EMFAC2000'!C35</f>
        <v>64219.192332471786</v>
      </c>
      <c r="H35" s="33"/>
      <c r="J35" s="33"/>
    </row>
    <row r="36" spans="1:10" ht="12.75">
      <c r="A36" s="59">
        <v>2008</v>
      </c>
      <c r="B36" s="104">
        <f>B59*'Fleet totals PC-LDT1'!C35</f>
        <v>119196.71414910376</v>
      </c>
      <c r="C36" s="104">
        <f>C59*'Fleet totals LDT2'!C35/0.34</f>
        <v>22056.946983564565</v>
      </c>
      <c r="D36" s="104">
        <f t="shared" si="1"/>
        <v>141253.66113266832</v>
      </c>
      <c r="G36" s="104">
        <f>'Fleet totals PC-LDT1'!Q35*'Vehicle Totals EMFAC2000'!B36+'Fleet totals LDT2'!Q35*'Vehicle Totals EMFAC2000'!C36</f>
        <v>70626.83056633416</v>
      </c>
      <c r="H36" s="33"/>
      <c r="J36" s="33"/>
    </row>
    <row r="37" spans="1:10" ht="12.75">
      <c r="A37" s="59">
        <v>2009</v>
      </c>
      <c r="B37" s="104">
        <f>B60*'Fleet totals PC-LDT1'!C36</f>
        <v>120638.72452228157</v>
      </c>
      <c r="C37" s="104">
        <f>C60*'Fleet totals LDT2'!C36/0.51</f>
        <v>33782.877866829695</v>
      </c>
      <c r="D37" s="104">
        <f t="shared" si="1"/>
        <v>154421.60238911127</v>
      </c>
      <c r="G37" s="104">
        <f>'Fleet totals PC-LDT1'!Q36*'Vehicle Totals EMFAC2000'!B37+'Fleet totals LDT2'!Q36*'Vehicle Totals EMFAC2000'!C37</f>
        <v>77210.80119455564</v>
      </c>
      <c r="H37" s="33"/>
      <c r="J37" s="33"/>
    </row>
    <row r="38" spans="1:10" ht="12.75">
      <c r="A38" s="59">
        <v>2010</v>
      </c>
      <c r="B38" s="104">
        <f>B61*'Fleet totals PC-LDT1'!C37</f>
        <v>121844.6759053321</v>
      </c>
      <c r="C38" s="104">
        <f>C61*'Fleet totals LDT2'!C37/0.68</f>
        <v>46317.25127605549</v>
      </c>
      <c r="D38" s="104">
        <f t="shared" si="1"/>
        <v>168161.92718138758</v>
      </c>
      <c r="G38" s="104">
        <f>'Fleet totals PC-LDT1'!Q37*'Vehicle Totals EMFAC2000'!B38+'Fleet totals LDT2'!Q37*'Vehicle Totals EMFAC2000'!C38</f>
        <v>84080.96359069379</v>
      </c>
      <c r="H38" s="33"/>
      <c r="J38" s="33"/>
    </row>
    <row r="39" spans="1:10" ht="12.75">
      <c r="A39" s="59">
        <v>2011</v>
      </c>
      <c r="B39" s="104">
        <f>B62*'Fleet totals PC-LDT1'!C38</f>
        <v>121868.64832480789</v>
      </c>
      <c r="C39" s="104">
        <f>C62*'Fleet totals LDT2'!C38/0.85</f>
        <v>59618.41373293646</v>
      </c>
      <c r="D39" s="104">
        <f t="shared" si="1"/>
        <v>181487.06205774436</v>
      </c>
      <c r="G39" s="104">
        <f>'Fleet totals PC-LDT1'!Q38*'Vehicle Totals EMFAC2000'!B39+'Fleet totals LDT2'!Q38*'Vehicle Totals EMFAC2000'!C39</f>
        <v>90743.53102887218</v>
      </c>
      <c r="H39" s="33"/>
      <c r="I39" s="33"/>
      <c r="J39" s="33"/>
    </row>
    <row r="40" spans="1:9" ht="12.75">
      <c r="A40" s="59">
        <v>2012</v>
      </c>
      <c r="B40" s="104">
        <f>B63*'Fleet totals PC-LDT1'!C39</f>
        <v>123000.89937690806</v>
      </c>
      <c r="C40" s="104">
        <f>C63*'Fleet totals LDT2'!C39</f>
        <v>72203.15495182716</v>
      </c>
      <c r="D40" s="104">
        <f t="shared" si="1"/>
        <v>195204.05432873522</v>
      </c>
      <c r="G40" s="104">
        <f>'Fleet totals PC-LDT1'!Q39*'Vehicle Totals EMFAC2000'!B40+'Fleet totals LDT2'!Q39*'Vehicle Totals EMFAC2000'!C40</f>
        <v>97602.02716436761</v>
      </c>
      <c r="H40" s="33"/>
      <c r="I40" s="33"/>
    </row>
    <row r="41" spans="1:9" ht="12.75">
      <c r="A41" s="59">
        <v>2013</v>
      </c>
      <c r="B41" s="104">
        <f>B64*'Fleet totals PC-LDT1'!C40</f>
        <v>123725.81741708909</v>
      </c>
      <c r="C41" s="104">
        <f>C64*'Fleet totals LDT2'!C40</f>
        <v>74437.18388675927</v>
      </c>
      <c r="D41" s="104">
        <f t="shared" si="1"/>
        <v>198163.00130384834</v>
      </c>
      <c r="G41" s="104">
        <f>'Fleet totals PC-LDT1'!Q40*'Vehicle Totals EMFAC2000'!B41+'Fleet totals LDT2'!Q40*'Vehicle Totals EMFAC2000'!C41</f>
        <v>99081.50065192417</v>
      </c>
      <c r="H41" s="33"/>
      <c r="I41" s="33"/>
    </row>
    <row r="42" spans="1:9" ht="12.75">
      <c r="A42" s="59">
        <v>2014</v>
      </c>
      <c r="B42" s="104">
        <f>B65*'Fleet totals PC-LDT1'!C41</f>
        <v>124900.86220974107</v>
      </c>
      <c r="C42" s="104">
        <f>C65*'Fleet totals LDT2'!C41</f>
        <v>75526.55543110103</v>
      </c>
      <c r="D42" s="104">
        <f t="shared" si="1"/>
        <v>200427.4176408421</v>
      </c>
      <c r="G42" s="104">
        <f>'Fleet totals PC-LDT1'!Q41*'Vehicle Totals EMFAC2000'!B42+'Fleet totals LDT2'!Q41*'Vehicle Totals EMFAC2000'!C42</f>
        <v>100213.70882042104</v>
      </c>
      <c r="H42" s="33"/>
      <c r="I42" s="33"/>
    </row>
    <row r="43" spans="1:9" ht="12.75">
      <c r="A43" s="59">
        <v>2015</v>
      </c>
      <c r="B43" s="104">
        <f>B66*'Fleet totals PC-LDT1'!C42</f>
        <v>125994.67814301231</v>
      </c>
      <c r="C43" s="104">
        <f>C66*'Fleet totals LDT2'!C42</f>
        <v>76856.62071766128</v>
      </c>
      <c r="D43" s="104">
        <f t="shared" si="1"/>
        <v>202851.2988606736</v>
      </c>
      <c r="F43" t="s">
        <v>40</v>
      </c>
      <c r="G43" s="104">
        <f>'Fleet totals PC-LDT1'!Q42*'Vehicle Totals EMFAC2000'!B43+'Fleet totals LDT2'!Q42*'Vehicle Totals EMFAC2000'!C43</f>
        <v>101425.6494303368</v>
      </c>
      <c r="H43" s="33"/>
      <c r="I43" s="33"/>
    </row>
    <row r="44" spans="1:9" ht="12.75">
      <c r="A44" s="59">
        <v>2016</v>
      </c>
      <c r="B44" s="104">
        <f>B67*'Fleet totals PC-LDT1'!C43</f>
        <v>126632.52280832053</v>
      </c>
      <c r="C44" s="104">
        <f>C67*'Fleet totals LDT2'!C43</f>
        <v>77502.9042478658</v>
      </c>
      <c r="D44" s="104">
        <f t="shared" si="1"/>
        <v>204135.4270561863</v>
      </c>
      <c r="G44" s="104">
        <f>'Fleet totals PC-LDT1'!Q43*'Vehicle Totals EMFAC2000'!B44+'Fleet totals LDT2'!Q43*'Vehicle Totals EMFAC2000'!C44</f>
        <v>102067.71352809315</v>
      </c>
      <c r="H44" s="33"/>
      <c r="I44" s="33"/>
    </row>
    <row r="45" spans="1:9" ht="12.75">
      <c r="A45" s="59">
        <v>2017</v>
      </c>
      <c r="B45" s="104">
        <f>B68*'Fleet totals PC-LDT1'!C44</f>
        <v>128173.4937065244</v>
      </c>
      <c r="C45" s="104">
        <f>C68*'Fleet totals LDT2'!C44</f>
        <v>78727.36555564975</v>
      </c>
      <c r="D45" s="104">
        <f t="shared" si="1"/>
        <v>206900.85926217417</v>
      </c>
      <c r="G45" s="104">
        <f>'Fleet totals PC-LDT1'!Q44*'Vehicle Totals EMFAC2000'!B45+'Fleet totals LDT2'!Q44*'Vehicle Totals EMFAC2000'!C45</f>
        <v>103450.42963108708</v>
      </c>
      <c r="H45" s="33"/>
      <c r="I45" t="s">
        <v>202</v>
      </c>
    </row>
    <row r="46" spans="1:8" ht="12.75">
      <c r="A46" s="59">
        <v>2018</v>
      </c>
      <c r="B46" s="104">
        <f>B69*'Fleet totals PC-LDT1'!C45</f>
        <v>129936.25901467162</v>
      </c>
      <c r="C46" s="104">
        <f>C69*'Fleet totals LDT2'!C45</f>
        <v>79977.14617852727</v>
      </c>
      <c r="D46" s="104">
        <f t="shared" si="1"/>
        <v>209913.40519319888</v>
      </c>
      <c r="G46" s="104">
        <f>'Fleet totals PC-LDT1'!Q45*'Vehicle Totals EMFAC2000'!B46+'Fleet totals LDT2'!Q45*'Vehicle Totals EMFAC2000'!C46</f>
        <v>104956.70259659944</v>
      </c>
      <c r="H46" s="33"/>
    </row>
    <row r="47" spans="1:8" ht="12.75">
      <c r="A47" s="59">
        <v>2019</v>
      </c>
      <c r="B47" s="104">
        <f>B70*'Fleet totals PC-LDT1'!C46</f>
        <v>131391.54337218724</v>
      </c>
      <c r="C47" s="104">
        <f>C70*'Fleet totals LDT2'!C46</f>
        <v>81242.47093788628</v>
      </c>
      <c r="D47" s="104">
        <f t="shared" si="1"/>
        <v>212634.01431007351</v>
      </c>
      <c r="G47" s="104">
        <f>'Fleet totals PC-LDT1'!Q46*'Vehicle Totals EMFAC2000'!B47+'Fleet totals LDT2'!Q46*'Vehicle Totals EMFAC2000'!C47</f>
        <v>106317.00715503676</v>
      </c>
      <c r="H47" s="33"/>
    </row>
    <row r="48" spans="1:8" ht="12.75">
      <c r="A48" s="59">
        <v>2020</v>
      </c>
      <c r="B48" s="104">
        <f>B71*'Fleet totals PC-LDT1'!C47</f>
        <v>132539.74301740975</v>
      </c>
      <c r="C48" s="104">
        <f>C71*'Fleet totals LDT2'!C47</f>
        <v>81754.78644645654</v>
      </c>
      <c r="D48" s="104">
        <f t="shared" si="1"/>
        <v>214294.5294638663</v>
      </c>
      <c r="G48" s="104">
        <f>'Fleet totals PC-LDT1'!Q47*'Vehicle Totals EMFAC2000'!B48+'Fleet totals LDT2'!Q47*'Vehicle Totals EMFAC2000'!C48</f>
        <v>107147.26473193314</v>
      </c>
      <c r="H48" s="33"/>
    </row>
    <row r="49" spans="2:8" ht="12.75">
      <c r="B49" s="33"/>
      <c r="D49" s="102"/>
      <c r="H49" s="33"/>
    </row>
    <row r="50" spans="1:10" ht="22.5" customHeight="1">
      <c r="A50" s="183" t="s">
        <v>176</v>
      </c>
      <c r="B50" s="183"/>
      <c r="C50" s="183"/>
      <c r="D50" s="183"/>
      <c r="E50" s="183"/>
      <c r="F50" s="183"/>
      <c r="G50" s="183"/>
      <c r="H50" s="183"/>
      <c r="I50" s="183"/>
      <c r="J50" s="183"/>
    </row>
    <row r="51" spans="1:10" ht="12.75" customHeight="1">
      <c r="A51" s="150" t="s">
        <v>43</v>
      </c>
      <c r="B51" s="144" t="s">
        <v>194</v>
      </c>
      <c r="C51" s="144" t="s">
        <v>195</v>
      </c>
      <c r="D51" s="186" t="s">
        <v>35</v>
      </c>
      <c r="E51" s="150" t="s">
        <v>47</v>
      </c>
      <c r="F51" s="150" t="s">
        <v>100</v>
      </c>
      <c r="G51" s="150" t="s">
        <v>91</v>
      </c>
      <c r="H51" s="178" t="s">
        <v>199</v>
      </c>
      <c r="I51" s="178" t="s">
        <v>198</v>
      </c>
      <c r="J51" s="178" t="s">
        <v>200</v>
      </c>
    </row>
    <row r="52" spans="1:10" ht="12.75" customHeight="1">
      <c r="A52" s="150"/>
      <c r="B52" s="172"/>
      <c r="C52" s="172"/>
      <c r="D52" s="187"/>
      <c r="E52" s="150"/>
      <c r="F52" s="150"/>
      <c r="G52" s="150"/>
      <c r="H52" s="178"/>
      <c r="I52" s="178"/>
      <c r="J52" s="178"/>
    </row>
    <row r="53" spans="1:10" ht="12.75">
      <c r="A53" s="150"/>
      <c r="B53" s="145"/>
      <c r="C53" s="145"/>
      <c r="D53" s="188"/>
      <c r="E53" s="150"/>
      <c r="F53" s="150"/>
      <c r="G53" s="150"/>
      <c r="H53" s="178"/>
      <c r="I53" s="178"/>
      <c r="J53" s="178"/>
    </row>
    <row r="54" spans="1:10" ht="12.75" customHeight="1">
      <c r="A54" s="59">
        <v>2003</v>
      </c>
      <c r="B54" s="133">
        <f>965711+128577</f>
        <v>1094288</v>
      </c>
      <c r="C54" s="133">
        <f>C6+C31</f>
        <v>0</v>
      </c>
      <c r="D54" s="133">
        <f aca="true" t="shared" si="2" ref="D54:D71">B54+C54</f>
        <v>1094288</v>
      </c>
      <c r="E54" s="133">
        <f>B54*H54</f>
        <v>4407.711961121176</v>
      </c>
      <c r="F54" s="133">
        <f>B54*I54</f>
        <v>10164.422902518507</v>
      </c>
      <c r="G54" s="133">
        <f>J54*B54</f>
        <v>91046.09693866673</v>
      </c>
      <c r="H54" s="127">
        <v>0.0040279267990887</v>
      </c>
      <c r="I54" s="127">
        <v>0.009288617715371554</v>
      </c>
      <c r="J54" s="127">
        <v>0.08320122028082802</v>
      </c>
    </row>
    <row r="55" spans="1:10" ht="12.75">
      <c r="A55" s="59">
        <v>2004</v>
      </c>
      <c r="B55" s="133">
        <f>994408+138117</f>
        <v>1132525</v>
      </c>
      <c r="C55" s="133">
        <f>C7+C32</f>
        <v>0</v>
      </c>
      <c r="D55" s="133">
        <f t="shared" si="2"/>
        <v>1132525</v>
      </c>
      <c r="E55" s="133">
        <f aca="true" t="shared" si="3" ref="E55:E71">B55*H55</f>
        <v>4561.72779813793</v>
      </c>
      <c r="F55" s="133">
        <f aca="true" t="shared" si="4" ref="F55:F71">B55*I55</f>
        <v>21039.18355620234</v>
      </c>
      <c r="G55" s="133">
        <f aca="true" t="shared" si="5" ref="G55:G70">J55*B55</f>
        <v>188454.9239970895</v>
      </c>
      <c r="H55" s="127">
        <v>0.0040279267990887</v>
      </c>
      <c r="I55" s="127">
        <v>0.01857723543074311</v>
      </c>
      <c r="J55" s="127">
        <v>0.16640244056165604</v>
      </c>
    </row>
    <row r="56" spans="1:10" ht="12.75">
      <c r="A56" s="59">
        <v>2005</v>
      </c>
      <c r="B56" s="133">
        <f>1015882+146150</f>
        <v>1162032</v>
      </c>
      <c r="C56" s="133">
        <f>C8+C33</f>
        <v>0</v>
      </c>
      <c r="D56" s="133">
        <f t="shared" si="2"/>
        <v>1162032</v>
      </c>
      <c r="E56" s="133">
        <f t="shared" si="3"/>
        <v>4678.21946009662</v>
      </c>
      <c r="F56" s="133">
        <f t="shared" si="4"/>
        <v>25969.734787437326</v>
      </c>
      <c r="G56" s="133">
        <f t="shared" si="5"/>
        <v>290774.3771590109</v>
      </c>
      <c r="H56" s="127">
        <v>0.004025895552012871</v>
      </c>
      <c r="I56" s="127">
        <v>0.022348553901645845</v>
      </c>
      <c r="J56" s="127">
        <v>0.2502292339273023</v>
      </c>
    </row>
    <row r="57" spans="1:10" ht="12.75">
      <c r="A57" s="59">
        <v>2006</v>
      </c>
      <c r="B57" s="133">
        <f>1020392+150727</f>
        <v>1171119</v>
      </c>
      <c r="C57" s="133">
        <f>C9+C34</f>
        <v>0</v>
      </c>
      <c r="D57" s="133">
        <f t="shared" si="2"/>
        <v>1171119</v>
      </c>
      <c r="E57" s="133">
        <f t="shared" si="3"/>
        <v>6131.5396369545215</v>
      </c>
      <c r="F57" s="133">
        <f t="shared" si="4"/>
        <v>35542.21588992016</v>
      </c>
      <c r="G57" s="133">
        <f t="shared" si="5"/>
        <v>385633.60236072075</v>
      </c>
      <c r="H57" s="127">
        <v>0.005235624763115039</v>
      </c>
      <c r="I57" s="127">
        <v>0.030348936265161917</v>
      </c>
      <c r="J57" s="127">
        <v>0.32928643661380336</v>
      </c>
    </row>
    <row r="58" spans="1:10" ht="12.75">
      <c r="A58" s="59">
        <v>2007</v>
      </c>
      <c r="B58" s="133">
        <f>1030717+157763</f>
        <v>1188480</v>
      </c>
      <c r="C58" s="133">
        <f>(253152+139915)*0.17</f>
        <v>66821.39</v>
      </c>
      <c r="D58" s="133">
        <f>B58+C58</f>
        <v>1255301.39</v>
      </c>
      <c r="E58" s="133">
        <f>B58*H58</f>
        <v>6970.705388863727</v>
      </c>
      <c r="F58" s="133">
        <f t="shared" si="4"/>
        <v>40378.37859030929</v>
      </c>
      <c r="G58" s="133">
        <f t="shared" si="5"/>
        <v>439271.374348439</v>
      </c>
      <c r="H58" s="127">
        <v>0.00586522733984899</v>
      </c>
      <c r="I58" s="127">
        <v>0.03397480697219077</v>
      </c>
      <c r="J58" s="127">
        <v>0.3696077126652859</v>
      </c>
    </row>
    <row r="59" spans="1:10" ht="12.75">
      <c r="A59" s="59">
        <v>2008</v>
      </c>
      <c r="B59" s="133">
        <f>1042579+160704</f>
        <v>1203283</v>
      </c>
      <c r="C59" s="133">
        <f>(261133+143696)*0.34</f>
        <v>137641.86000000002</v>
      </c>
      <c r="D59" s="133">
        <f t="shared" si="2"/>
        <v>1340924.86</v>
      </c>
      <c r="E59" s="133">
        <f t="shared" si="3"/>
        <v>7735.161754067174</v>
      </c>
      <c r="F59" s="133">
        <f t="shared" si="4"/>
        <v>45244.25623988442</v>
      </c>
      <c r="G59" s="133">
        <f t="shared" si="5"/>
        <v>493259.6244402811</v>
      </c>
      <c r="H59" s="127">
        <v>0.006428381148962608</v>
      </c>
      <c r="I59" s="127">
        <v>0.03760067767921962</v>
      </c>
      <c r="J59" s="127">
        <v>0.4099281918221076</v>
      </c>
    </row>
    <row r="60" spans="1:10" ht="12.75">
      <c r="A60" s="59">
        <v>2009</v>
      </c>
      <c r="B60" s="133">
        <f>1053589+164251</f>
        <v>1217840</v>
      </c>
      <c r="C60" s="133">
        <f>(271501+141862)*0.51</f>
        <v>210815.13</v>
      </c>
      <c r="D60" s="133">
        <f t="shared" si="2"/>
        <v>1428655.13</v>
      </c>
      <c r="E60" s="133">
        <f t="shared" si="3"/>
        <v>10469.648210851952</v>
      </c>
      <c r="F60" s="133">
        <f t="shared" si="4"/>
        <v>62758.68936328914</v>
      </c>
      <c r="G60" s="133">
        <f t="shared" si="5"/>
        <v>548331.8119551732</v>
      </c>
      <c r="H60" s="127">
        <v>0.008596899601632358</v>
      </c>
      <c r="I60" s="127">
        <v>0.05153278703548014</v>
      </c>
      <c r="J60" s="127">
        <v>0.4502494678735902</v>
      </c>
    </row>
    <row r="61" spans="1:10" ht="12.75">
      <c r="A61" s="59">
        <v>2010</v>
      </c>
      <c r="B61" s="133">
        <f>1061697+168317</f>
        <v>1230014</v>
      </c>
      <c r="C61" s="133">
        <f>(281539+143510)*0.68</f>
        <v>289033.32</v>
      </c>
      <c r="D61" s="133">
        <f t="shared" si="2"/>
        <v>1519047.32</v>
      </c>
      <c r="E61" s="133">
        <f t="shared" si="3"/>
        <v>11781.90290476073</v>
      </c>
      <c r="F61" s="133">
        <f t="shared" si="4"/>
        <v>68960.3990816586</v>
      </c>
      <c r="G61" s="133">
        <f t="shared" si="5"/>
        <v>603408.8830182544</v>
      </c>
      <c r="H61" s="127">
        <v>0.009578673823843248</v>
      </c>
      <c r="I61" s="127">
        <v>0.05606472697193576</v>
      </c>
      <c r="J61" s="127">
        <v>0.49057074392507277</v>
      </c>
    </row>
    <row r="62" spans="1:10" ht="12.75">
      <c r="A62" s="59">
        <v>2011</v>
      </c>
      <c r="B62" s="133">
        <f>1059878+170378</f>
        <v>1230256</v>
      </c>
      <c r="C62" s="133">
        <f>(290367+147323)*0.85</f>
        <v>372036.5</v>
      </c>
      <c r="D62" s="133">
        <f t="shared" si="2"/>
        <v>1602292.5</v>
      </c>
      <c r="E62" s="133">
        <f t="shared" si="3"/>
        <v>12800.879605951528</v>
      </c>
      <c r="F62" s="133">
        <f t="shared" si="4"/>
        <v>74549.41304404994</v>
      </c>
      <c r="G62" s="133">
        <f t="shared" si="5"/>
        <v>653133.0929282771</v>
      </c>
      <c r="H62" s="127">
        <v>0.010405053587181471</v>
      </c>
      <c r="I62" s="127">
        <v>0.06059666690839138</v>
      </c>
      <c r="J62" s="127">
        <v>0.5308920199765553</v>
      </c>
    </row>
    <row r="63" spans="1:10" ht="12.75">
      <c r="A63" s="59">
        <v>2012</v>
      </c>
      <c r="B63" s="133">
        <f>1068227+173459</f>
        <v>1241686</v>
      </c>
      <c r="C63" s="133">
        <f>301048+149521</f>
        <v>450569</v>
      </c>
      <c r="D63" s="133">
        <f t="shared" si="2"/>
        <v>1692255</v>
      </c>
      <c r="E63" s="133">
        <f t="shared" si="3"/>
        <v>17929.6121433996</v>
      </c>
      <c r="F63" s="133">
        <f t="shared" si="4"/>
        <v>96248.96814572973</v>
      </c>
      <c r="G63" s="133">
        <f t="shared" si="5"/>
        <v>703378.0906898</v>
      </c>
      <c r="H63" s="127">
        <v>0.014439731255244562</v>
      </c>
      <c r="I63" s="127">
        <v>0.07751474055898973</v>
      </c>
      <c r="J63" s="127">
        <v>0.5664701790064477</v>
      </c>
    </row>
    <row r="64" spans="1:10" ht="12.75">
      <c r="A64" s="59">
        <v>2013</v>
      </c>
      <c r="B64" s="133">
        <f>1072529+176475</f>
        <v>1249004</v>
      </c>
      <c r="C64" s="133">
        <f>310117+154393</f>
        <v>464510</v>
      </c>
      <c r="D64" s="133">
        <f t="shared" si="2"/>
        <v>1713514</v>
      </c>
      <c r="E64" s="133">
        <f t="shared" si="3"/>
        <v>18035.28209672548</v>
      </c>
      <c r="F64" s="133">
        <f t="shared" si="4"/>
        <v>96816.2210171404</v>
      </c>
      <c r="G64" s="133">
        <f t="shared" si="5"/>
        <v>707523.5194597692</v>
      </c>
      <c r="H64" s="127">
        <v>0.014439731255244562</v>
      </c>
      <c r="I64" s="127">
        <v>0.07751474055898973</v>
      </c>
      <c r="J64" s="127">
        <v>0.5664701790064477</v>
      </c>
    </row>
    <row r="65" spans="1:10" ht="12.75">
      <c r="A65" s="59">
        <v>2014</v>
      </c>
      <c r="B65" s="133">
        <f>1081231+179635</f>
        <v>1260866</v>
      </c>
      <c r="C65" s="133">
        <f>316850+154458</f>
        <v>471308</v>
      </c>
      <c r="D65" s="133">
        <f t="shared" si="2"/>
        <v>1732174</v>
      </c>
      <c r="E65" s="133">
        <f t="shared" si="3"/>
        <v>18206.56618887519</v>
      </c>
      <c r="F65" s="133">
        <f t="shared" si="4"/>
        <v>97735.70086965115</v>
      </c>
      <c r="G65" s="133">
        <f t="shared" si="5"/>
        <v>714242.9887231437</v>
      </c>
      <c r="H65" s="127">
        <v>0.014439731255244562</v>
      </c>
      <c r="I65" s="127">
        <v>0.07751474055898973</v>
      </c>
      <c r="J65" s="127">
        <v>0.5664701790064477</v>
      </c>
    </row>
    <row r="66" spans="1:10" ht="12.75">
      <c r="A66" s="59">
        <v>2015</v>
      </c>
      <c r="B66" s="133">
        <f>1088968+182940</f>
        <v>1271908</v>
      </c>
      <c r="C66" s="133">
        <f>322018+157590</f>
        <v>479608</v>
      </c>
      <c r="D66" s="133">
        <f t="shared" si="2"/>
        <v>1751516</v>
      </c>
      <c r="E66" s="133">
        <f t="shared" si="3"/>
        <v>24488.012935194136</v>
      </c>
      <c r="F66" s="133">
        <f t="shared" si="4"/>
        <v>131455.82937210277</v>
      </c>
      <c r="G66" s="133">
        <f t="shared" si="5"/>
        <v>720497.9524397328</v>
      </c>
      <c r="H66" s="127">
        <v>0.019252975006992752</v>
      </c>
      <c r="I66" s="127">
        <v>0.10335325304353993</v>
      </c>
      <c r="J66" s="127">
        <v>0.5664701790064477</v>
      </c>
    </row>
    <row r="67" spans="1:10" ht="12.75">
      <c r="A67" s="59">
        <v>2016</v>
      </c>
      <c r="B67" s="133">
        <f>1093592+184755</f>
        <v>1278347</v>
      </c>
      <c r="C67" s="133">
        <f>324381+159260</f>
        <v>483641</v>
      </c>
      <c r="D67" s="133">
        <f t="shared" si="2"/>
        <v>1761988</v>
      </c>
      <c r="E67" s="133">
        <f t="shared" si="3"/>
        <v>24611.982841264165</v>
      </c>
      <c r="F67" s="133">
        <f t="shared" si="4"/>
        <v>132121.32096845013</v>
      </c>
      <c r="G67" s="133">
        <f t="shared" si="5"/>
        <v>724145.4539223554</v>
      </c>
      <c r="H67" s="127">
        <v>0.019252975006992752</v>
      </c>
      <c r="I67" s="127">
        <v>0.10335325304353993</v>
      </c>
      <c r="J67" s="127">
        <v>0.5664701790064477</v>
      </c>
    </row>
    <row r="68" spans="1:10" ht="12.75">
      <c r="A68" s="59">
        <v>2017</v>
      </c>
      <c r="B68" s="133">
        <f>1103972+189931</f>
        <v>1293903</v>
      </c>
      <c r="C68" s="133">
        <f>328447+162835</f>
        <v>491282</v>
      </c>
      <c r="D68" s="133">
        <f t="shared" si="2"/>
        <v>1785185</v>
      </c>
      <c r="E68" s="133">
        <f t="shared" si="3"/>
        <v>24911.48212047294</v>
      </c>
      <c r="F68" s="133">
        <f t="shared" si="4"/>
        <v>133729.08417279544</v>
      </c>
      <c r="G68" s="133">
        <f t="shared" si="5"/>
        <v>732957.4640269796</v>
      </c>
      <c r="H68" s="127">
        <v>0.019252975006992752</v>
      </c>
      <c r="I68" s="127">
        <v>0.10335325304353993</v>
      </c>
      <c r="J68" s="127">
        <v>0.5664701790064477</v>
      </c>
    </row>
    <row r="69" spans="1:10" ht="12.75">
      <c r="A69" s="59">
        <v>2018</v>
      </c>
      <c r="B69" s="133">
        <f>1116148+195550</f>
        <v>1311698</v>
      </c>
      <c r="C69" s="133">
        <f>335450+163631</f>
        <v>499081</v>
      </c>
      <c r="D69" s="133">
        <f t="shared" si="2"/>
        <v>1810779</v>
      </c>
      <c r="E69" s="133">
        <f t="shared" si="3"/>
        <v>31567.611013402973</v>
      </c>
      <c r="F69" s="133">
        <f t="shared" si="4"/>
        <v>169460.58045966478</v>
      </c>
      <c r="G69" s="133">
        <f>J69*B69</f>
        <v>743037.8008623994</v>
      </c>
      <c r="H69" s="127">
        <v>0.02406621875874094</v>
      </c>
      <c r="I69" s="127">
        <v>0.12919176552809014</v>
      </c>
      <c r="J69" s="127">
        <v>0.5664701790064477</v>
      </c>
    </row>
    <row r="70" spans="1:10" ht="12.75">
      <c r="A70" s="59">
        <v>2019</v>
      </c>
      <c r="B70" s="133">
        <f>1127745+198644</f>
        <v>1326389</v>
      </c>
      <c r="C70" s="133">
        <f>338047+168930</f>
        <v>506977</v>
      </c>
      <c r="D70" s="133">
        <f t="shared" si="2"/>
        <v>1833366</v>
      </c>
      <c r="E70" s="133">
        <f t="shared" si="3"/>
        <v>31921.167833187636</v>
      </c>
      <c r="F70" s="133">
        <f t="shared" si="4"/>
        <v>171358.53668703797</v>
      </c>
      <c r="G70" s="133">
        <f t="shared" si="5"/>
        <v>751359.8142621832</v>
      </c>
      <c r="H70" s="127">
        <v>0.02406621875874094</v>
      </c>
      <c r="I70" s="127">
        <v>0.12919176552809014</v>
      </c>
      <c r="J70" s="127">
        <v>0.5664701790064477</v>
      </c>
    </row>
    <row r="71" spans="1:10" ht="12.75">
      <c r="A71" s="59">
        <v>2020</v>
      </c>
      <c r="B71" s="133">
        <f>1135729+202251</f>
        <v>1337980</v>
      </c>
      <c r="C71" s="133">
        <f>342506+167668</f>
        <v>510174</v>
      </c>
      <c r="D71" s="133">
        <f t="shared" si="2"/>
        <v>1848154</v>
      </c>
      <c r="E71" s="133">
        <f t="shared" si="3"/>
        <v>32200.119374820202</v>
      </c>
      <c r="F71" s="133">
        <f t="shared" si="4"/>
        <v>172855.99844127405</v>
      </c>
      <c r="G71" s="133">
        <f>J71*B71</f>
        <v>757925.7701070469</v>
      </c>
      <c r="H71" s="127">
        <v>0.02406621875874094</v>
      </c>
      <c r="I71" s="127">
        <v>0.12919176552809014</v>
      </c>
      <c r="J71" s="127">
        <v>0.5664701790064477</v>
      </c>
    </row>
    <row r="72" spans="1:10" ht="12.75">
      <c r="A72" s="1" t="s">
        <v>35</v>
      </c>
      <c r="B72" s="134">
        <f aca="true" t="shared" si="6" ref="B72:G72">SUM(B54:B71)</f>
        <v>22201618</v>
      </c>
      <c r="C72" s="134">
        <f t="shared" si="6"/>
        <v>5433498.2</v>
      </c>
      <c r="D72" s="134">
        <f t="shared" si="6"/>
        <v>27635116.2</v>
      </c>
      <c r="E72" s="134">
        <f t="shared" si="6"/>
        <v>293409.33326814766</v>
      </c>
      <c r="F72" s="134">
        <f t="shared" si="6"/>
        <v>1586388.9335891162</v>
      </c>
      <c r="G72" s="134">
        <f t="shared" si="6"/>
        <v>10248382.641639324</v>
      </c>
      <c r="H72" s="1"/>
      <c r="I72" s="1"/>
      <c r="J72" s="1"/>
    </row>
  </sheetData>
  <mergeCells count="25">
    <mergeCell ref="H51:H53"/>
    <mergeCell ref="I51:I53"/>
    <mergeCell ref="A50:J50"/>
    <mergeCell ref="E3:E5"/>
    <mergeCell ref="F3:F5"/>
    <mergeCell ref="G3:G5"/>
    <mergeCell ref="G28:G30"/>
    <mergeCell ref="A27:G27"/>
    <mergeCell ref="J51:J53"/>
    <mergeCell ref="A51:A53"/>
    <mergeCell ref="B51:B53"/>
    <mergeCell ref="C51:C53"/>
    <mergeCell ref="A1:G1"/>
    <mergeCell ref="D51:D53"/>
    <mergeCell ref="E51:E53"/>
    <mergeCell ref="F51:F53"/>
    <mergeCell ref="G51:G53"/>
    <mergeCell ref="D3:D5"/>
    <mergeCell ref="A3:A5"/>
    <mergeCell ref="B3:B5"/>
    <mergeCell ref="A28:A30"/>
    <mergeCell ref="B28:B30"/>
    <mergeCell ref="D28:D30"/>
    <mergeCell ref="C28:C30"/>
    <mergeCell ref="C3:C5"/>
  </mergeCells>
  <printOptions/>
  <pageMargins left="0.21" right="0.18" top="0.45" bottom="0.2" header="0.17" footer="0.19"/>
  <pageSetup fitToHeight="1" fitToWidth="1" orientation="portrait" scale="70" r:id="rId2"/>
  <headerFooter alignWithMargins="0">
    <oddHeader>&amp;C&amp;"Arial,Bold"&amp;20Vehicle Totals EMFAC2000</oddHeader>
    <oddFooter>&amp;L&amp;F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3:V48"/>
  <sheetViews>
    <sheetView zoomScale="70" zoomScaleNormal="70" workbookViewId="0" topLeftCell="A1">
      <selection activeCell="R38" sqref="R38"/>
    </sheetView>
  </sheetViews>
  <sheetFormatPr defaultColWidth="9.140625" defaultRowHeight="12.75"/>
  <cols>
    <col min="1" max="1" width="15.00390625" style="0" customWidth="1"/>
    <col min="2" max="2" width="7.421875" style="0" customWidth="1"/>
    <col min="3" max="3" width="10.28125" style="0" bestFit="1" customWidth="1"/>
    <col min="4" max="4" width="10.00390625" style="0" customWidth="1"/>
    <col min="5" max="5" width="7.28125" style="0" customWidth="1"/>
    <col min="6" max="6" width="8.28125" style="0" bestFit="1" customWidth="1"/>
    <col min="7" max="7" width="7.7109375" style="0" bestFit="1" customWidth="1"/>
    <col min="8" max="8" width="8.28125" style="0" bestFit="1" customWidth="1"/>
    <col min="9" max="9" width="7.7109375" style="0" bestFit="1" customWidth="1"/>
    <col min="10" max="10" width="8.28125" style="0" bestFit="1" customWidth="1"/>
    <col min="11" max="11" width="7.7109375" style="0" bestFit="1" customWidth="1"/>
    <col min="12" max="12" width="8.28125" style="0" bestFit="1" customWidth="1"/>
    <col min="13" max="13" width="7.7109375" style="0" bestFit="1" customWidth="1"/>
    <col min="14" max="14" width="8.28125" style="0" bestFit="1" customWidth="1"/>
    <col min="15" max="15" width="7.7109375" style="0" bestFit="1" customWidth="1"/>
    <col min="16" max="16" width="8.28125" style="0" bestFit="1" customWidth="1"/>
    <col min="17" max="17" width="7.7109375" style="0" bestFit="1" customWidth="1"/>
    <col min="18" max="18" width="8.28125" style="0" bestFit="1" customWidth="1"/>
    <col min="19" max="19" width="9.28125" style="0" customWidth="1"/>
    <col min="20" max="20" width="9.7109375" style="0" customWidth="1"/>
    <col min="21" max="21" width="10.28125" style="0" customWidth="1"/>
  </cols>
  <sheetData>
    <row r="3" spans="1:20" ht="12.75">
      <c r="A3" s="156" t="s">
        <v>17</v>
      </c>
      <c r="B3" s="143" t="s">
        <v>43</v>
      </c>
      <c r="C3" s="143" t="s">
        <v>11</v>
      </c>
      <c r="D3" s="143" t="s">
        <v>69</v>
      </c>
      <c r="E3" s="150" t="s">
        <v>72</v>
      </c>
      <c r="F3" s="150"/>
      <c r="G3" s="150" t="s">
        <v>73</v>
      </c>
      <c r="H3" s="150"/>
      <c r="I3" s="150" t="s">
        <v>74</v>
      </c>
      <c r="J3" s="150"/>
      <c r="K3" s="150" t="s">
        <v>75</v>
      </c>
      <c r="L3" s="150"/>
      <c r="M3" s="150" t="s">
        <v>76</v>
      </c>
      <c r="N3" s="150"/>
      <c r="O3" s="150" t="s">
        <v>77</v>
      </c>
      <c r="P3" s="150"/>
      <c r="Q3" s="150" t="s">
        <v>78</v>
      </c>
      <c r="R3" s="150"/>
      <c r="S3" s="135" t="s">
        <v>79</v>
      </c>
      <c r="T3" s="136"/>
    </row>
    <row r="4" spans="1:20" ht="12.75">
      <c r="A4" s="157"/>
      <c r="B4" s="143"/>
      <c r="C4" s="143"/>
      <c r="D4" s="143"/>
      <c r="E4" s="53" t="s">
        <v>70</v>
      </c>
      <c r="F4" s="1" t="s">
        <v>71</v>
      </c>
      <c r="G4" s="1" t="s">
        <v>70</v>
      </c>
      <c r="H4" s="1" t="s">
        <v>71</v>
      </c>
      <c r="I4" s="1" t="s">
        <v>70</v>
      </c>
      <c r="J4" s="1" t="s">
        <v>71</v>
      </c>
      <c r="K4" s="1" t="s">
        <v>70</v>
      </c>
      <c r="L4" s="1" t="s">
        <v>71</v>
      </c>
      <c r="M4" s="1" t="s">
        <v>70</v>
      </c>
      <c r="N4" s="1" t="s">
        <v>71</v>
      </c>
      <c r="O4" s="1" t="s">
        <v>70</v>
      </c>
      <c r="P4" s="1" t="s">
        <v>71</v>
      </c>
      <c r="Q4" s="1" t="s">
        <v>70</v>
      </c>
      <c r="R4" s="1" t="s">
        <v>71</v>
      </c>
      <c r="S4" s="1" t="s">
        <v>70</v>
      </c>
      <c r="T4" s="1" t="s">
        <v>71</v>
      </c>
    </row>
    <row r="5" spans="1:20" ht="12.75">
      <c r="A5" s="13" t="s">
        <v>18</v>
      </c>
      <c r="B5" s="13">
        <v>1999</v>
      </c>
      <c r="C5" s="13" t="s">
        <v>2</v>
      </c>
      <c r="D5" s="13" t="s">
        <v>9</v>
      </c>
      <c r="E5" s="27">
        <v>1</v>
      </c>
      <c r="F5" s="27">
        <f>'2001'!G6</f>
        <v>10.72</v>
      </c>
      <c r="G5" s="27">
        <v>1</v>
      </c>
      <c r="H5" s="27">
        <f>'2002'!G6</f>
        <v>10.72</v>
      </c>
      <c r="I5" s="27">
        <v>1</v>
      </c>
      <c r="J5" s="27">
        <f>'2003'!G6</f>
        <v>3.35</v>
      </c>
      <c r="K5" s="27">
        <v>1</v>
      </c>
      <c r="L5" s="27">
        <f>'2004'!G6</f>
        <v>3.35</v>
      </c>
      <c r="M5" s="27">
        <v>1</v>
      </c>
      <c r="N5" s="27">
        <f>'2005'!G6</f>
        <v>3.1330186915887848</v>
      </c>
      <c r="O5" s="27">
        <v>1</v>
      </c>
      <c r="P5" s="27">
        <f>'2006'!G6</f>
        <v>2.362684112149533</v>
      </c>
      <c r="Q5" s="27">
        <v>1</v>
      </c>
      <c r="R5" s="27">
        <f>'2007'!G6</f>
        <v>2.24341308411215</v>
      </c>
      <c r="S5" s="27">
        <v>1</v>
      </c>
      <c r="T5" s="27">
        <f>'2008'!G6</f>
        <v>2.1491738317757014</v>
      </c>
    </row>
    <row r="6" spans="1:20" ht="12.75">
      <c r="A6" s="13"/>
      <c r="B6" s="13"/>
      <c r="C6" s="13" t="s">
        <v>42</v>
      </c>
      <c r="D6" s="13"/>
      <c r="E6" s="27">
        <v>1</v>
      </c>
      <c r="F6" s="27">
        <f>'2001'!G7</f>
        <v>4</v>
      </c>
      <c r="G6" s="27">
        <v>1</v>
      </c>
      <c r="H6" s="27">
        <f>'2002'!G7</f>
        <v>4</v>
      </c>
      <c r="I6" s="27">
        <v>1</v>
      </c>
      <c r="J6" s="27">
        <f>'2003'!G7</f>
        <v>1.25</v>
      </c>
      <c r="K6" s="27">
        <v>1</v>
      </c>
      <c r="L6" s="27">
        <f>'2004'!G7</f>
        <v>0.625</v>
      </c>
      <c r="M6" s="27">
        <v>1</v>
      </c>
      <c r="N6" s="27">
        <f>'2005'!G7</f>
        <v>0.625</v>
      </c>
      <c r="O6" s="27">
        <v>1</v>
      </c>
      <c r="P6" s="27">
        <f>'2006'!G7</f>
        <v>0.15</v>
      </c>
      <c r="Q6" s="27">
        <v>1</v>
      </c>
      <c r="R6" s="27">
        <f>'2007'!G7</f>
        <v>0.15</v>
      </c>
      <c r="S6" s="27">
        <v>1</v>
      </c>
      <c r="T6" s="27">
        <f>'2008'!G7</f>
        <v>0.15</v>
      </c>
    </row>
    <row r="7" spans="1:20" ht="12.75">
      <c r="A7" s="7"/>
      <c r="B7" s="7"/>
      <c r="C7" s="7" t="s">
        <v>45</v>
      </c>
      <c r="D7" s="7"/>
      <c r="E7" s="27">
        <v>1</v>
      </c>
      <c r="F7" s="27">
        <f>'2001'!G8</f>
        <v>4</v>
      </c>
      <c r="G7" s="27">
        <v>1</v>
      </c>
      <c r="H7" s="27">
        <f>'2002'!G8</f>
        <v>4</v>
      </c>
      <c r="I7" s="27">
        <v>1</v>
      </c>
      <c r="J7" s="27">
        <f>'2003'!G8</f>
        <v>1.25</v>
      </c>
      <c r="K7" s="27">
        <v>1</v>
      </c>
      <c r="L7" s="27">
        <f>'2004'!G8</f>
        <v>1.25</v>
      </c>
      <c r="M7" s="27">
        <v>1</v>
      </c>
      <c r="N7" s="27">
        <f>'2005'!G8</f>
        <v>1.2938453159041394</v>
      </c>
      <c r="O7" s="27">
        <v>1</v>
      </c>
      <c r="P7" s="27">
        <f>'2006'!G8</f>
        <v>1.1227668845315906</v>
      </c>
      <c r="Q7" s="27">
        <v>1</v>
      </c>
      <c r="R7" s="27">
        <f>'2007'!G8</f>
        <v>1.1929193899782136</v>
      </c>
      <c r="S7" s="27">
        <v>1</v>
      </c>
      <c r="T7" s="27">
        <f>'2008'!G8</f>
        <v>1.2981481481481483</v>
      </c>
    </row>
    <row r="8" spans="1:20" ht="12.75">
      <c r="A8" s="7"/>
      <c r="B8" s="7"/>
      <c r="C8" s="7"/>
      <c r="D8" s="7"/>
      <c r="E8" s="27"/>
      <c r="F8" s="27" t="s">
        <v>40</v>
      </c>
      <c r="G8" s="27"/>
      <c r="H8" s="27" t="s">
        <v>40</v>
      </c>
      <c r="I8" s="27"/>
      <c r="J8" s="27" t="s">
        <v>40</v>
      </c>
      <c r="K8" s="27"/>
      <c r="L8" s="27" t="s">
        <v>40</v>
      </c>
      <c r="M8" s="27"/>
      <c r="N8" s="27" t="s">
        <v>40</v>
      </c>
      <c r="O8" s="27"/>
      <c r="P8" s="27"/>
      <c r="Q8" s="27"/>
      <c r="R8" s="27"/>
      <c r="S8" s="27"/>
      <c r="T8" s="27"/>
    </row>
    <row r="9" spans="1:20" ht="12.75">
      <c r="A9" s="29" t="s">
        <v>19</v>
      </c>
      <c r="B9" s="29">
        <v>2000</v>
      </c>
      <c r="C9" s="29" t="s">
        <v>3</v>
      </c>
      <c r="D9" s="29" t="s">
        <v>8</v>
      </c>
      <c r="E9" s="47">
        <v>1</v>
      </c>
      <c r="F9" s="47">
        <f>'2001'!G10</f>
        <v>9.12</v>
      </c>
      <c r="G9" s="47">
        <v>1</v>
      </c>
      <c r="H9" s="47">
        <f>'2002'!G10</f>
        <v>9.12</v>
      </c>
      <c r="I9" s="47">
        <v>1</v>
      </c>
      <c r="J9" s="47">
        <f>'2003'!G10</f>
        <v>2.8499999999999996</v>
      </c>
      <c r="K9" s="47">
        <v>1</v>
      </c>
      <c r="L9" s="47">
        <f>'2004'!G10</f>
        <v>2.8499999999999996</v>
      </c>
      <c r="M9" s="47">
        <v>1</v>
      </c>
      <c r="N9" s="47">
        <f>'2005'!G10</f>
        <v>2.8796336</v>
      </c>
      <c r="O9" s="47">
        <v>1</v>
      </c>
      <c r="P9" s="83">
        <f>'2006'!G10</f>
        <v>2.5135302399999997</v>
      </c>
      <c r="Q9" s="47">
        <v>1</v>
      </c>
      <c r="R9" s="83">
        <f>'2007'!G10</f>
        <v>2.62032064</v>
      </c>
      <c r="S9" s="83">
        <v>1</v>
      </c>
      <c r="T9" s="83">
        <f>'2008'!G10</f>
        <v>2.80132672</v>
      </c>
    </row>
    <row r="10" spans="1:20" ht="12.75">
      <c r="A10" s="29"/>
      <c r="B10" s="29"/>
      <c r="C10" s="29" t="s">
        <v>42</v>
      </c>
      <c r="D10" s="29"/>
      <c r="E10" s="47">
        <v>1</v>
      </c>
      <c r="F10" s="47">
        <f>'2001'!G11</f>
        <v>4</v>
      </c>
      <c r="G10" s="47">
        <v>1</v>
      </c>
      <c r="H10" s="47">
        <f>'2002'!G11</f>
        <v>4</v>
      </c>
      <c r="I10" s="47">
        <v>1</v>
      </c>
      <c r="J10" s="47">
        <f>'2003'!G11</f>
        <v>1.25</v>
      </c>
      <c r="K10" s="47">
        <v>1</v>
      </c>
      <c r="L10" s="47">
        <f>'2004'!G11</f>
        <v>0.625</v>
      </c>
      <c r="M10" s="47">
        <v>1</v>
      </c>
      <c r="N10" s="47">
        <f>'2005'!G11</f>
        <v>0.625</v>
      </c>
      <c r="O10" s="47">
        <v>1</v>
      </c>
      <c r="P10" s="83">
        <f>'2006'!G11</f>
        <v>0.15</v>
      </c>
      <c r="Q10" s="47">
        <v>1</v>
      </c>
      <c r="R10" s="83">
        <f>'2007'!G11</f>
        <v>0.15</v>
      </c>
      <c r="S10" s="83">
        <v>1</v>
      </c>
      <c r="T10" s="83">
        <f>'2008'!G11</f>
        <v>0.15</v>
      </c>
    </row>
    <row r="11" spans="1:20" ht="12.75">
      <c r="A11" s="29"/>
      <c r="B11" s="29"/>
      <c r="C11" s="29" t="s">
        <v>81</v>
      </c>
      <c r="D11" s="29" t="s">
        <v>86</v>
      </c>
      <c r="E11" s="47">
        <v>1</v>
      </c>
      <c r="F11" s="47">
        <f>'2001'!G12</f>
        <v>4</v>
      </c>
      <c r="G11" s="47">
        <v>1</v>
      </c>
      <c r="H11" s="47">
        <f>'2002'!G12</f>
        <v>4</v>
      </c>
      <c r="I11" s="47">
        <v>1</v>
      </c>
      <c r="J11" s="47">
        <f>'2003'!G12</f>
        <v>1.25</v>
      </c>
      <c r="K11" s="47">
        <v>1</v>
      </c>
      <c r="L11" s="47">
        <f>'2004'!G12</f>
        <v>1.25</v>
      </c>
      <c r="M11" s="47">
        <v>1</v>
      </c>
      <c r="N11" s="47">
        <f>'2005'!G12</f>
        <v>1.2937545388525782</v>
      </c>
      <c r="O11" s="47">
        <v>1</v>
      </c>
      <c r="P11" s="83">
        <f>'2006'!G12</f>
        <v>1.1225127087872186</v>
      </c>
      <c r="Q11" s="47">
        <v>1</v>
      </c>
      <c r="R11" s="83">
        <f>'2007'!G12</f>
        <v>1.1925199709513437</v>
      </c>
      <c r="S11" s="83">
        <v>1</v>
      </c>
      <c r="T11" s="83">
        <f>'2008'!G12</f>
        <v>1.297530864197531</v>
      </c>
    </row>
    <row r="12" spans="1:20" ht="12.75">
      <c r="A12" s="29"/>
      <c r="B12" s="29"/>
      <c r="C12" s="29"/>
      <c r="D12" s="29"/>
      <c r="E12" s="47"/>
      <c r="F12" s="47" t="s">
        <v>40</v>
      </c>
      <c r="G12" s="47"/>
      <c r="H12" s="47" t="s">
        <v>40</v>
      </c>
      <c r="I12" s="47"/>
      <c r="J12" s="47" t="s">
        <v>40</v>
      </c>
      <c r="K12" s="47"/>
      <c r="L12" s="47" t="s">
        <v>40</v>
      </c>
      <c r="M12" s="47"/>
      <c r="N12" s="47" t="s">
        <v>40</v>
      </c>
      <c r="O12" s="47"/>
      <c r="P12" s="83"/>
      <c r="Q12" s="47"/>
      <c r="R12" s="83"/>
      <c r="S12" s="83"/>
      <c r="T12" s="83"/>
    </row>
    <row r="13" spans="1:20" ht="12.75">
      <c r="A13" s="7" t="s">
        <v>20</v>
      </c>
      <c r="B13" s="7">
        <v>1999</v>
      </c>
      <c r="C13" s="7" t="s">
        <v>4</v>
      </c>
      <c r="D13" s="7" t="s">
        <v>8</v>
      </c>
      <c r="E13" s="27">
        <v>4.296</v>
      </c>
      <c r="F13" s="27">
        <f>'2001'!G14</f>
        <v>13.776</v>
      </c>
      <c r="G13" s="27">
        <v>4.296</v>
      </c>
      <c r="H13" s="27">
        <f>'2002'!G14</f>
        <v>13.776</v>
      </c>
      <c r="I13" s="27">
        <v>2.296</v>
      </c>
      <c r="J13" s="27">
        <f>'2003'!G14</f>
        <v>4.305</v>
      </c>
      <c r="K13" s="27">
        <v>2.296</v>
      </c>
      <c r="L13" s="27">
        <f>'2004'!G14</f>
        <v>4.305</v>
      </c>
      <c r="M13" s="27">
        <v>2.296</v>
      </c>
      <c r="N13" s="27">
        <f>'2005'!G14</f>
        <v>4.455613959694989</v>
      </c>
      <c r="O13" s="27">
        <v>1.148</v>
      </c>
      <c r="P13" s="27">
        <f>'2006'!G14</f>
        <v>4.035277577342048</v>
      </c>
      <c r="Q13" s="27">
        <v>1.148</v>
      </c>
      <c r="R13" s="27">
        <f>'2007'!G14</f>
        <v>4.1987308017429195</v>
      </c>
      <c r="S13" s="27">
        <v>1</v>
      </c>
      <c r="T13" s="27">
        <f>'2008'!G14</f>
        <v>4.410673037037037</v>
      </c>
    </row>
    <row r="14" spans="1:20" ht="12.75">
      <c r="A14" s="7"/>
      <c r="B14" s="7"/>
      <c r="C14" s="7" t="s">
        <v>42</v>
      </c>
      <c r="D14" s="7"/>
      <c r="E14" s="27">
        <v>1</v>
      </c>
      <c r="F14" s="27">
        <f>'2001'!G15</f>
        <v>4</v>
      </c>
      <c r="G14" s="27">
        <v>1</v>
      </c>
      <c r="H14" s="27">
        <f>'2002'!G15</f>
        <v>4</v>
      </c>
      <c r="I14" s="27">
        <v>1</v>
      </c>
      <c r="J14" s="27">
        <f>'2003'!G15</f>
        <v>1.25</v>
      </c>
      <c r="K14" s="27">
        <v>1</v>
      </c>
      <c r="L14" s="27">
        <f>'2004'!G15</f>
        <v>0.625</v>
      </c>
      <c r="M14" s="27">
        <v>1</v>
      </c>
      <c r="N14" s="27">
        <f>'2005'!G15</f>
        <v>0.625</v>
      </c>
      <c r="O14" s="27">
        <v>1</v>
      </c>
      <c r="P14" s="27">
        <f>'2006'!G15</f>
        <v>0.15</v>
      </c>
      <c r="Q14" s="27">
        <v>1</v>
      </c>
      <c r="R14" s="27">
        <f>'2007'!G15</f>
        <v>0.15</v>
      </c>
      <c r="S14" s="27">
        <v>1</v>
      </c>
      <c r="T14" s="27">
        <f>'2008'!G15</f>
        <v>0.15</v>
      </c>
    </row>
    <row r="15" spans="1:20" ht="12.75">
      <c r="A15" s="7"/>
      <c r="B15" s="7"/>
      <c r="C15" s="7" t="s">
        <v>45</v>
      </c>
      <c r="D15" s="7"/>
      <c r="E15" s="27">
        <v>1</v>
      </c>
      <c r="F15" s="27">
        <f>'2001'!G16</f>
        <v>4</v>
      </c>
      <c r="G15" s="27">
        <v>1</v>
      </c>
      <c r="H15" s="27">
        <f>'2002'!G16</f>
        <v>4</v>
      </c>
      <c r="I15" s="27">
        <v>1</v>
      </c>
      <c r="J15" s="27">
        <f>'2003'!G16</f>
        <v>1.25</v>
      </c>
      <c r="K15" s="27">
        <v>1</v>
      </c>
      <c r="L15" s="27">
        <f>'2004'!G16</f>
        <v>1.25</v>
      </c>
      <c r="M15" s="27">
        <v>1</v>
      </c>
      <c r="N15" s="27">
        <f>'2005'!G16</f>
        <v>1.2938453159041394</v>
      </c>
      <c r="O15" s="27">
        <v>1</v>
      </c>
      <c r="P15" s="27">
        <f>'2006'!G16</f>
        <v>1.1227668845315906</v>
      </c>
      <c r="Q15" s="27">
        <v>1</v>
      </c>
      <c r="R15" s="27">
        <f>'2007'!G16</f>
        <v>1.1929193899782136</v>
      </c>
      <c r="S15" s="27">
        <v>1</v>
      </c>
      <c r="T15" s="27">
        <f>'2008'!G16</f>
        <v>1.2981481481481483</v>
      </c>
    </row>
    <row r="16" spans="1:20" ht="12.75">
      <c r="A16" s="7"/>
      <c r="B16" s="7"/>
      <c r="C16" s="7"/>
      <c r="D16" s="7"/>
      <c r="E16" s="27"/>
      <c r="F16" s="27" t="s">
        <v>40</v>
      </c>
      <c r="G16" s="27"/>
      <c r="H16" s="27" t="s">
        <v>40</v>
      </c>
      <c r="I16" s="27"/>
      <c r="J16" s="27" t="s">
        <v>40</v>
      </c>
      <c r="K16" s="27"/>
      <c r="L16" s="27" t="s">
        <v>40</v>
      </c>
      <c r="M16" s="27"/>
      <c r="N16" s="27" t="s">
        <v>40</v>
      </c>
      <c r="O16" s="27"/>
      <c r="P16" s="27"/>
      <c r="Q16" s="27"/>
      <c r="R16" s="27"/>
      <c r="S16" s="27"/>
      <c r="T16" s="27"/>
    </row>
    <row r="17" spans="1:20" ht="12.75">
      <c r="A17" s="29" t="s">
        <v>21</v>
      </c>
      <c r="B17" s="29">
        <v>1999</v>
      </c>
      <c r="C17" s="29" t="s">
        <v>5</v>
      </c>
      <c r="D17" s="29" t="s">
        <v>9</v>
      </c>
      <c r="E17" s="47">
        <v>4.672</v>
      </c>
      <c r="F17" s="47">
        <f>'2001'!G18</f>
        <v>16.032</v>
      </c>
      <c r="G17" s="47">
        <v>4.672</v>
      </c>
      <c r="H17" s="47">
        <f>'2002'!G18</f>
        <v>16.032</v>
      </c>
      <c r="I17" s="47">
        <v>2.672</v>
      </c>
      <c r="J17" s="47">
        <f>'2003'!G18</f>
        <v>5.01</v>
      </c>
      <c r="K17" s="47">
        <v>2.672</v>
      </c>
      <c r="L17" s="47">
        <f>'2004'!G18</f>
        <v>5.01</v>
      </c>
      <c r="M17" s="47">
        <v>2.672</v>
      </c>
      <c r="N17" s="47">
        <f>'2005'!G18</f>
        <v>4.80493037037037</v>
      </c>
      <c r="O17" s="47">
        <v>1.336</v>
      </c>
      <c r="P17" s="83">
        <f>'2006'!G18</f>
        <v>3.8264743703703705</v>
      </c>
      <c r="Q17" s="47">
        <v>1.336</v>
      </c>
      <c r="R17" s="83">
        <f>'2007'!G18</f>
        <v>3.7008180740740744</v>
      </c>
      <c r="S17" s="83">
        <v>1</v>
      </c>
      <c r="T17" s="83">
        <f>'2008'!G18</f>
        <v>3.5853194074074075</v>
      </c>
    </row>
    <row r="18" spans="1:20" ht="12.75">
      <c r="A18" s="29"/>
      <c r="B18" s="29"/>
      <c r="C18" s="29" t="s">
        <v>42</v>
      </c>
      <c r="D18" s="29"/>
      <c r="E18" s="47">
        <v>1</v>
      </c>
      <c r="F18" s="47">
        <f>'2001'!G19</f>
        <v>4</v>
      </c>
      <c r="G18" s="47">
        <v>1</v>
      </c>
      <c r="H18" s="47">
        <f>'2002'!G19</f>
        <v>4</v>
      </c>
      <c r="I18" s="47">
        <v>1</v>
      </c>
      <c r="J18" s="47">
        <f>'2003'!G19</f>
        <v>1.25</v>
      </c>
      <c r="K18" s="47">
        <v>1</v>
      </c>
      <c r="L18" s="47">
        <f>'2004'!G19</f>
        <v>0.625</v>
      </c>
      <c r="M18" s="47">
        <v>1</v>
      </c>
      <c r="N18" s="47">
        <f>'2005'!G19</f>
        <v>0.625</v>
      </c>
      <c r="O18" s="47">
        <v>1</v>
      </c>
      <c r="P18" s="83">
        <f>'2006'!G19</f>
        <v>0.15</v>
      </c>
      <c r="Q18" s="47">
        <v>1</v>
      </c>
      <c r="R18" s="83">
        <f>'2007'!G19</f>
        <v>0.15</v>
      </c>
      <c r="S18" s="83">
        <v>1</v>
      </c>
      <c r="T18" s="83">
        <f>'2008'!G19</f>
        <v>0.15</v>
      </c>
    </row>
    <row r="19" spans="1:20" ht="12.75">
      <c r="A19" s="29"/>
      <c r="B19" s="29"/>
      <c r="C19" s="29" t="s">
        <v>58</v>
      </c>
      <c r="D19" s="29" t="s">
        <v>9</v>
      </c>
      <c r="E19" s="47">
        <v>1</v>
      </c>
      <c r="F19" s="47">
        <f>'2001'!G20</f>
        <v>8.8</v>
      </c>
      <c r="G19" s="47">
        <v>1</v>
      </c>
      <c r="H19" s="47">
        <f>'2002'!G20</f>
        <v>8.8</v>
      </c>
      <c r="I19" s="47">
        <v>1</v>
      </c>
      <c r="J19" s="47">
        <f>'2003'!G20</f>
        <v>2.75</v>
      </c>
      <c r="K19" s="47">
        <v>1</v>
      </c>
      <c r="L19" s="47">
        <f>'2004'!G20</f>
        <v>2.75</v>
      </c>
      <c r="M19" s="47">
        <v>1</v>
      </c>
      <c r="N19" s="47">
        <f>'2005'!G20</f>
        <v>2.6000426652142345</v>
      </c>
      <c r="O19" s="47">
        <v>1</v>
      </c>
      <c r="P19" s="83">
        <f>'2006'!G20</f>
        <v>1.9923645606390707</v>
      </c>
      <c r="Q19" s="47">
        <v>1</v>
      </c>
      <c r="R19" s="83">
        <f>'2007'!G20</f>
        <v>1.9232106027596227</v>
      </c>
      <c r="S19" s="83">
        <v>1</v>
      </c>
      <c r="T19" s="83">
        <f>'2008'!G20</f>
        <v>1.8830123456790127</v>
      </c>
    </row>
    <row r="20" spans="1:20" ht="12.75">
      <c r="A20" s="29"/>
      <c r="B20" s="29"/>
      <c r="C20" s="29"/>
      <c r="D20" s="29"/>
      <c r="E20" s="47"/>
      <c r="F20" s="47" t="s">
        <v>40</v>
      </c>
      <c r="G20" s="47"/>
      <c r="H20" s="47" t="s">
        <v>40</v>
      </c>
      <c r="I20" s="47"/>
      <c r="J20" s="47" t="s">
        <v>40</v>
      </c>
      <c r="K20" s="47"/>
      <c r="L20" s="47" t="s">
        <v>40</v>
      </c>
      <c r="M20" s="47"/>
      <c r="N20" s="47" t="s">
        <v>40</v>
      </c>
      <c r="O20" s="47"/>
      <c r="P20" s="83"/>
      <c r="Q20" s="47"/>
      <c r="R20" s="83"/>
      <c r="S20" s="83"/>
      <c r="T20" s="83"/>
    </row>
    <row r="21" spans="1:20" ht="12.75">
      <c r="A21" s="7" t="s">
        <v>22</v>
      </c>
      <c r="B21" s="7">
        <v>2000</v>
      </c>
      <c r="C21" s="7" t="s">
        <v>6</v>
      </c>
      <c r="D21" s="7" t="s">
        <v>10</v>
      </c>
      <c r="E21" s="27">
        <v>4.773</v>
      </c>
      <c r="F21" s="27">
        <f>'2001'!G22</f>
        <v>16.64</v>
      </c>
      <c r="G21" s="27">
        <v>4.773</v>
      </c>
      <c r="H21" s="27">
        <f>'2002'!G22</f>
        <v>16.64</v>
      </c>
      <c r="I21" s="27">
        <v>2.773</v>
      </c>
      <c r="J21" s="27">
        <f>'2003'!G22</f>
        <v>5.2</v>
      </c>
      <c r="K21" s="27">
        <v>2.773</v>
      </c>
      <c r="L21" s="27">
        <f>'2004'!G22</f>
        <v>5.2</v>
      </c>
      <c r="M21" s="27">
        <v>2.773</v>
      </c>
      <c r="N21" s="27">
        <f>'2005'!G22</f>
        <v>5.347330533854167</v>
      </c>
      <c r="O21" s="27">
        <v>1.387</v>
      </c>
      <c r="P21" s="27">
        <f>'2006'!G22</f>
        <v>4.781190416666666</v>
      </c>
      <c r="Q21" s="27">
        <v>1.387</v>
      </c>
      <c r="R21" s="27">
        <f>'2007'!G22</f>
        <v>4.899567239583333</v>
      </c>
      <c r="S21" s="27">
        <v>1</v>
      </c>
      <c r="T21" s="27">
        <f>'2008'!G22</f>
        <v>5.027615520833332</v>
      </c>
    </row>
    <row r="22" spans="1:20" ht="12.75">
      <c r="A22" s="7"/>
      <c r="B22" s="7"/>
      <c r="C22" s="7" t="s">
        <v>42</v>
      </c>
      <c r="D22" s="7"/>
      <c r="E22" s="27">
        <v>1</v>
      </c>
      <c r="F22" s="27">
        <f>'2001'!G23</f>
        <v>4</v>
      </c>
      <c r="G22" s="27">
        <v>1</v>
      </c>
      <c r="H22" s="27">
        <f>'2002'!G23</f>
        <v>4</v>
      </c>
      <c r="I22" s="27">
        <v>1</v>
      </c>
      <c r="J22" s="27">
        <f>'2003'!G23</f>
        <v>1.25</v>
      </c>
      <c r="K22" s="27">
        <v>1</v>
      </c>
      <c r="L22" s="27">
        <f>'2004'!G23</f>
        <v>0.625</v>
      </c>
      <c r="M22" s="27">
        <v>1</v>
      </c>
      <c r="N22" s="27">
        <f>'2005'!G23</f>
        <v>0.625</v>
      </c>
      <c r="O22" s="27">
        <v>1</v>
      </c>
      <c r="P22" s="27">
        <f>'2006'!G23</f>
        <v>0.15</v>
      </c>
      <c r="Q22" s="27">
        <v>1</v>
      </c>
      <c r="R22" s="27">
        <f>'2007'!G23</f>
        <v>0.15</v>
      </c>
      <c r="S22" s="27">
        <v>1</v>
      </c>
      <c r="T22" s="27">
        <f>'2008'!G23</f>
        <v>0.15</v>
      </c>
    </row>
    <row r="23" spans="1:20" ht="12.75">
      <c r="A23" s="7"/>
      <c r="B23" s="7"/>
      <c r="C23" s="7" t="s">
        <v>59</v>
      </c>
      <c r="D23" s="7" t="s">
        <v>10</v>
      </c>
      <c r="E23" s="27">
        <v>1</v>
      </c>
      <c r="F23" s="27">
        <f>'2001'!G24</f>
        <v>5.6</v>
      </c>
      <c r="G23" s="27">
        <v>1</v>
      </c>
      <c r="H23" s="27">
        <f>'2002'!G24</f>
        <v>5.6</v>
      </c>
      <c r="I23" s="27">
        <v>1</v>
      </c>
      <c r="J23" s="27">
        <f>'2003'!G24</f>
        <v>1.75</v>
      </c>
      <c r="K23" s="27">
        <v>1</v>
      </c>
      <c r="L23" s="27">
        <f>'2004'!G24</f>
        <v>1.75</v>
      </c>
      <c r="M23" s="27">
        <v>1</v>
      </c>
      <c r="N23" s="27">
        <f>'2005'!G24</f>
        <v>1.8201054829339143</v>
      </c>
      <c r="O23" s="27">
        <v>1</v>
      </c>
      <c r="P23" s="27">
        <f>'2006'!G24</f>
        <v>1.6514332607116924</v>
      </c>
      <c r="Q23" s="27">
        <v>1</v>
      </c>
      <c r="R23" s="27">
        <f>'2007'!G24</f>
        <v>1.795253885257807</v>
      </c>
      <c r="S23" s="27">
        <v>1</v>
      </c>
      <c r="T23" s="27">
        <f>'2008'!G24</f>
        <v>2.0224987654320987</v>
      </c>
    </row>
    <row r="24" spans="1:20" ht="12.75">
      <c r="A24" s="7"/>
      <c r="B24" s="7"/>
      <c r="C24" s="7"/>
      <c r="D24" s="7"/>
      <c r="E24" s="27"/>
      <c r="F24" s="27"/>
      <c r="G24" s="27"/>
      <c r="H24" s="27" t="s">
        <v>40</v>
      </c>
      <c r="I24" s="27"/>
      <c r="J24" s="27" t="s">
        <v>40</v>
      </c>
      <c r="K24" s="27"/>
      <c r="L24" s="27" t="s">
        <v>40</v>
      </c>
      <c r="M24" s="27"/>
      <c r="N24" s="27" t="s">
        <v>40</v>
      </c>
      <c r="O24" s="27"/>
      <c r="P24" s="27"/>
      <c r="Q24" s="27"/>
      <c r="R24" s="27"/>
      <c r="S24" s="27"/>
      <c r="T24" s="27"/>
    </row>
    <row r="25" spans="1:20" ht="12.75">
      <c r="A25" s="29" t="s">
        <v>23</v>
      </c>
      <c r="B25" s="29">
        <v>2000</v>
      </c>
      <c r="C25" s="29" t="s">
        <v>7</v>
      </c>
      <c r="D25" s="29" t="s">
        <v>9</v>
      </c>
      <c r="E25" s="47">
        <v>5.131</v>
      </c>
      <c r="F25" s="47">
        <f>'2001'!G26</f>
        <v>18.784000000000002</v>
      </c>
      <c r="G25" s="47">
        <v>5.131</v>
      </c>
      <c r="H25" s="47">
        <f>'2002'!G26</f>
        <v>18.784000000000002</v>
      </c>
      <c r="I25" s="47">
        <v>3.131</v>
      </c>
      <c r="J25" s="47">
        <f>'2003'!G26</f>
        <v>5.870000000000001</v>
      </c>
      <c r="K25" s="47">
        <v>3.131</v>
      </c>
      <c r="L25" s="47">
        <f>'2004'!G26</f>
        <v>5.870000000000001</v>
      </c>
      <c r="M25" s="47">
        <v>3.131</v>
      </c>
      <c r="N25" s="47">
        <f>'2005'!G26</f>
        <v>5.939906453333334</v>
      </c>
      <c r="O25" s="47">
        <v>1.565</v>
      </c>
      <c r="P25" s="83">
        <f>'2006'!G26</f>
        <v>5.172013141333333</v>
      </c>
      <c r="Q25" s="47">
        <v>1.565</v>
      </c>
      <c r="R25" s="83">
        <f>'2007'!G26</f>
        <v>5.205242154666667</v>
      </c>
      <c r="S25" s="83">
        <v>1</v>
      </c>
      <c r="T25" s="83">
        <f>'2008'!G26</f>
        <v>5.219589290666667</v>
      </c>
    </row>
    <row r="26" spans="1:20" ht="12.75">
      <c r="A26" s="29"/>
      <c r="B26" s="29"/>
      <c r="C26" s="29" t="s">
        <v>42</v>
      </c>
      <c r="D26" s="29"/>
      <c r="E26" s="47">
        <v>1</v>
      </c>
      <c r="F26" s="47">
        <f>'2001'!G27</f>
        <v>4</v>
      </c>
      <c r="G26" s="47">
        <v>1</v>
      </c>
      <c r="H26" s="47">
        <f>'2002'!G27</f>
        <v>4</v>
      </c>
      <c r="I26" s="47">
        <v>1</v>
      </c>
      <c r="J26" s="47">
        <f>'2003'!G27</f>
        <v>1.25</v>
      </c>
      <c r="K26" s="47">
        <v>1</v>
      </c>
      <c r="L26" s="47">
        <f>'2004'!G27</f>
        <v>0.625</v>
      </c>
      <c r="M26" s="47">
        <v>1</v>
      </c>
      <c r="N26" s="47">
        <f>'2005'!G27</f>
        <v>0.625</v>
      </c>
      <c r="O26" s="47">
        <v>1</v>
      </c>
      <c r="P26" s="83">
        <f>'2006'!G27</f>
        <v>0.15</v>
      </c>
      <c r="Q26" s="47">
        <v>1</v>
      </c>
      <c r="R26" s="83">
        <f>'2007'!G27</f>
        <v>0.15</v>
      </c>
      <c r="S26" s="83">
        <v>1</v>
      </c>
      <c r="T26" s="83">
        <f>'2008'!G27</f>
        <v>0.15</v>
      </c>
    </row>
    <row r="27" spans="1:20" ht="12.75">
      <c r="A27" s="29"/>
      <c r="B27" s="29"/>
      <c r="C27" s="29" t="s">
        <v>60</v>
      </c>
      <c r="D27" s="29" t="s">
        <v>9</v>
      </c>
      <c r="E27" s="47">
        <v>1</v>
      </c>
      <c r="F27" s="47">
        <f>'2001'!G28</f>
        <v>5.6</v>
      </c>
      <c r="G27" s="47">
        <v>1</v>
      </c>
      <c r="H27" s="47">
        <f>'2002'!G28</f>
        <v>5.6</v>
      </c>
      <c r="I27" s="47">
        <v>1</v>
      </c>
      <c r="J27" s="47">
        <f>'2003'!G28</f>
        <v>1.75</v>
      </c>
      <c r="K27" s="47">
        <v>1</v>
      </c>
      <c r="L27" s="47">
        <f>'2004'!G28</f>
        <v>1.75</v>
      </c>
      <c r="M27" s="47">
        <v>1</v>
      </c>
      <c r="N27" s="47">
        <f>'2005'!G28</f>
        <v>1.803878903413217</v>
      </c>
      <c r="O27" s="47">
        <v>1</v>
      </c>
      <c r="P27" s="83">
        <f>'2006'!G28</f>
        <v>1.6090733478576615</v>
      </c>
      <c r="Q27" s="47">
        <v>1</v>
      </c>
      <c r="R27" s="83">
        <f>'2007'!G28</f>
        <v>1.7319092229484385</v>
      </c>
      <c r="S27" s="83">
        <v>1</v>
      </c>
      <c r="T27" s="83">
        <f>'2008'!G28</f>
        <v>1.9295802469135803</v>
      </c>
    </row>
    <row r="28" spans="1:20" ht="12.75">
      <c r="A28" s="45"/>
      <c r="B28" s="45"/>
      <c r="C28" s="45"/>
      <c r="D28" s="4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</row>
    <row r="29" spans="1:20" ht="12.75">
      <c r="A29" s="45"/>
      <c r="B29" s="45"/>
      <c r="C29" s="45"/>
      <c r="D29" s="4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</row>
    <row r="30" spans="1:20" ht="12.75">
      <c r="A30" s="56" t="s">
        <v>87</v>
      </c>
      <c r="B30" s="45"/>
      <c r="C30" s="45"/>
      <c r="D30" s="45"/>
      <c r="E30" s="55"/>
      <c r="F30" s="55"/>
      <c r="G30" s="55"/>
      <c r="H30" s="55"/>
      <c r="I30" s="55"/>
      <c r="S30" s="55"/>
      <c r="T30" s="55"/>
    </row>
    <row r="31" spans="1:20" ht="12.75">
      <c r="A31" s="45"/>
      <c r="B31" s="45"/>
      <c r="C31" s="45"/>
      <c r="D31" s="45"/>
      <c r="E31" s="55"/>
      <c r="F31" s="55"/>
      <c r="G31" s="55"/>
      <c r="H31" s="55"/>
      <c r="I31" s="55"/>
      <c r="S31" s="55"/>
      <c r="T31" s="55"/>
    </row>
    <row r="32" spans="1:22" ht="12.75" customHeight="1">
      <c r="A32" s="156" t="s">
        <v>17</v>
      </c>
      <c r="B32" s="143" t="s">
        <v>43</v>
      </c>
      <c r="C32" s="143" t="s">
        <v>11</v>
      </c>
      <c r="D32" s="143" t="s">
        <v>69</v>
      </c>
      <c r="E32" s="150" t="s">
        <v>72</v>
      </c>
      <c r="F32" s="150"/>
      <c r="G32" s="150" t="s">
        <v>73</v>
      </c>
      <c r="H32" s="150"/>
      <c r="I32" s="150" t="s">
        <v>74</v>
      </c>
      <c r="J32" s="150"/>
      <c r="K32" s="152" t="s">
        <v>102</v>
      </c>
      <c r="L32" s="153"/>
      <c r="N32" s="57" t="s">
        <v>103</v>
      </c>
      <c r="O32" s="55"/>
      <c r="P32" s="55"/>
      <c r="Q32" s="55"/>
      <c r="R32" s="55"/>
      <c r="S32" s="55"/>
      <c r="T32" s="55"/>
      <c r="U32" s="55"/>
      <c r="V32" s="55"/>
    </row>
    <row r="33" spans="1:22" ht="12.75">
      <c r="A33" s="157"/>
      <c r="B33" s="143"/>
      <c r="C33" s="143"/>
      <c r="D33" s="143"/>
      <c r="E33" s="53" t="s">
        <v>70</v>
      </c>
      <c r="F33" s="1" t="s">
        <v>71</v>
      </c>
      <c r="G33" s="1" t="s">
        <v>70</v>
      </c>
      <c r="H33" s="1" t="s">
        <v>71</v>
      </c>
      <c r="I33" s="1" t="s">
        <v>70</v>
      </c>
      <c r="J33" s="1" t="s">
        <v>71</v>
      </c>
      <c r="K33" s="154"/>
      <c r="L33" s="155"/>
      <c r="N33" s="55"/>
      <c r="O33" s="55"/>
      <c r="P33" s="55"/>
      <c r="Q33" s="55"/>
      <c r="R33" s="55"/>
      <c r="S33" s="55"/>
      <c r="T33" s="55"/>
      <c r="U33" s="55"/>
      <c r="V33" s="55"/>
    </row>
    <row r="34" spans="1:21" ht="12.75">
      <c r="A34" s="43" t="s">
        <v>18</v>
      </c>
      <c r="B34" s="43">
        <v>1999</v>
      </c>
      <c r="C34" s="43" t="s">
        <v>2</v>
      </c>
      <c r="D34" s="43" t="s">
        <v>9</v>
      </c>
      <c r="E34" s="47">
        <f aca="true" t="shared" si="0" ref="E34:J34">+E5</f>
        <v>1</v>
      </c>
      <c r="F34" s="47">
        <f t="shared" si="0"/>
        <v>10.72</v>
      </c>
      <c r="G34" s="47">
        <f t="shared" si="0"/>
        <v>1</v>
      </c>
      <c r="H34" s="47">
        <f t="shared" si="0"/>
        <v>10.72</v>
      </c>
      <c r="I34" s="47">
        <f t="shared" si="0"/>
        <v>1</v>
      </c>
      <c r="J34" s="47">
        <f t="shared" si="0"/>
        <v>3.35</v>
      </c>
      <c r="K34" s="151">
        <f aca="true" t="shared" si="1" ref="K34:K39">+J34/I34</f>
        <v>3.35</v>
      </c>
      <c r="L34" s="151"/>
      <c r="N34" s="149" t="s">
        <v>17</v>
      </c>
      <c r="O34" s="149"/>
      <c r="P34" s="150" t="s">
        <v>89</v>
      </c>
      <c r="Q34" s="150"/>
      <c r="R34" s="150"/>
      <c r="S34" s="137" t="s">
        <v>90</v>
      </c>
      <c r="T34" s="138"/>
      <c r="U34" s="139"/>
    </row>
    <row r="35" spans="1:21" ht="12.75">
      <c r="A35" s="29" t="s">
        <v>19</v>
      </c>
      <c r="B35" s="29">
        <v>2000</v>
      </c>
      <c r="C35" s="29" t="s">
        <v>3</v>
      </c>
      <c r="D35" s="29" t="s">
        <v>8</v>
      </c>
      <c r="E35" s="47">
        <f aca="true" t="shared" si="2" ref="E35:J35">+E9</f>
        <v>1</v>
      </c>
      <c r="F35" s="47">
        <f t="shared" si="2"/>
        <v>9.12</v>
      </c>
      <c r="G35" s="47">
        <f t="shared" si="2"/>
        <v>1</v>
      </c>
      <c r="H35" s="47">
        <f t="shared" si="2"/>
        <v>9.12</v>
      </c>
      <c r="I35" s="47">
        <f t="shared" si="2"/>
        <v>1</v>
      </c>
      <c r="J35" s="47">
        <f t="shared" si="2"/>
        <v>2.8499999999999996</v>
      </c>
      <c r="K35" s="151">
        <f t="shared" si="1"/>
        <v>2.8499999999999996</v>
      </c>
      <c r="L35" s="151"/>
      <c r="N35" s="149"/>
      <c r="O35" s="149"/>
      <c r="P35" s="47" t="s">
        <v>42</v>
      </c>
      <c r="Q35" s="47" t="s">
        <v>88</v>
      </c>
      <c r="R35" s="47" t="s">
        <v>41</v>
      </c>
      <c r="S35" s="54" t="s">
        <v>85</v>
      </c>
      <c r="T35" s="54" t="s">
        <v>82</v>
      </c>
      <c r="U35" s="54" t="s">
        <v>105</v>
      </c>
    </row>
    <row r="36" spans="1:21" ht="12.75">
      <c r="A36" s="29" t="s">
        <v>20</v>
      </c>
      <c r="B36" s="29">
        <v>1999</v>
      </c>
      <c r="C36" s="29" t="s">
        <v>4</v>
      </c>
      <c r="D36" s="29" t="s">
        <v>8</v>
      </c>
      <c r="E36" s="47">
        <f aca="true" t="shared" si="3" ref="E36:J36">+E13</f>
        <v>4.296</v>
      </c>
      <c r="F36" s="47">
        <f t="shared" si="3"/>
        <v>13.776</v>
      </c>
      <c r="G36" s="47">
        <f t="shared" si="3"/>
        <v>4.296</v>
      </c>
      <c r="H36" s="47">
        <f t="shared" si="3"/>
        <v>13.776</v>
      </c>
      <c r="I36" s="47">
        <f t="shared" si="3"/>
        <v>2.296</v>
      </c>
      <c r="J36" s="47">
        <f t="shared" si="3"/>
        <v>4.305</v>
      </c>
      <c r="K36" s="151">
        <f t="shared" si="1"/>
        <v>1.875</v>
      </c>
      <c r="L36" s="151"/>
      <c r="N36" s="149" t="s">
        <v>19</v>
      </c>
      <c r="O36" s="149"/>
      <c r="P36" s="47">
        <f>+$J$26</f>
        <v>1.25</v>
      </c>
      <c r="Q36" s="47">
        <f>+J11</f>
        <v>1.25</v>
      </c>
      <c r="R36" s="47">
        <f>+J9</f>
        <v>2.8499999999999996</v>
      </c>
      <c r="S36" s="54">
        <f aca="true" t="shared" si="4" ref="S36:T39">+Q36/P36</f>
        <v>1</v>
      </c>
      <c r="T36" s="54">
        <f t="shared" si="4"/>
        <v>2.28</v>
      </c>
      <c r="U36" s="54">
        <f>+R36/P36</f>
        <v>2.28</v>
      </c>
    </row>
    <row r="37" spans="1:21" ht="12.75">
      <c r="A37" s="29" t="s">
        <v>21</v>
      </c>
      <c r="B37" s="29">
        <v>1999</v>
      </c>
      <c r="C37" s="29" t="s">
        <v>5</v>
      </c>
      <c r="D37" s="29" t="s">
        <v>9</v>
      </c>
      <c r="E37" s="47">
        <f aca="true" t="shared" si="5" ref="E37:J37">+E17</f>
        <v>4.672</v>
      </c>
      <c r="F37" s="47">
        <f t="shared" si="5"/>
        <v>16.032</v>
      </c>
      <c r="G37" s="47">
        <f t="shared" si="5"/>
        <v>4.672</v>
      </c>
      <c r="H37" s="47">
        <f t="shared" si="5"/>
        <v>16.032</v>
      </c>
      <c r="I37" s="47">
        <f t="shared" si="5"/>
        <v>2.672</v>
      </c>
      <c r="J37" s="47">
        <f t="shared" si="5"/>
        <v>5.01</v>
      </c>
      <c r="K37" s="151">
        <f t="shared" si="1"/>
        <v>1.8749999999999998</v>
      </c>
      <c r="L37" s="151"/>
      <c r="N37" s="149" t="s">
        <v>21</v>
      </c>
      <c r="O37" s="149"/>
      <c r="P37" s="47">
        <f>+$J$26</f>
        <v>1.25</v>
      </c>
      <c r="Q37" s="47">
        <f>+J19</f>
        <v>2.75</v>
      </c>
      <c r="R37" s="47">
        <f>+J17</f>
        <v>5.01</v>
      </c>
      <c r="S37" s="54">
        <f t="shared" si="4"/>
        <v>2.2</v>
      </c>
      <c r="T37" s="54">
        <f t="shared" si="4"/>
        <v>1.8218181818181818</v>
      </c>
      <c r="U37" s="54">
        <f>+R37/P37</f>
        <v>4.008</v>
      </c>
    </row>
    <row r="38" spans="1:21" ht="12.75">
      <c r="A38" s="29" t="s">
        <v>22</v>
      </c>
      <c r="B38" s="29">
        <v>2000</v>
      </c>
      <c r="C38" s="29" t="s">
        <v>6</v>
      </c>
      <c r="D38" s="29" t="s">
        <v>10</v>
      </c>
      <c r="E38" s="47">
        <f aca="true" t="shared" si="6" ref="E38:J38">+E21</f>
        <v>4.773</v>
      </c>
      <c r="F38" s="47">
        <f t="shared" si="6"/>
        <v>16.64</v>
      </c>
      <c r="G38" s="47">
        <f t="shared" si="6"/>
        <v>4.773</v>
      </c>
      <c r="H38" s="47">
        <f t="shared" si="6"/>
        <v>16.64</v>
      </c>
      <c r="I38" s="47">
        <f t="shared" si="6"/>
        <v>2.773</v>
      </c>
      <c r="J38" s="47">
        <f t="shared" si="6"/>
        <v>5.2</v>
      </c>
      <c r="K38" s="151">
        <f t="shared" si="1"/>
        <v>1.8752253876667868</v>
      </c>
      <c r="L38" s="151"/>
      <c r="M38" s="55"/>
      <c r="N38" s="149" t="s">
        <v>22</v>
      </c>
      <c r="O38" s="149"/>
      <c r="P38" s="47">
        <f>+$J$26</f>
        <v>1.25</v>
      </c>
      <c r="Q38" s="47">
        <f>+J23</f>
        <v>1.75</v>
      </c>
      <c r="R38" s="47">
        <f>+J21</f>
        <v>5.2</v>
      </c>
      <c r="S38" s="54">
        <f t="shared" si="4"/>
        <v>1.4</v>
      </c>
      <c r="T38" s="54">
        <f t="shared" si="4"/>
        <v>2.9714285714285715</v>
      </c>
      <c r="U38" s="54">
        <f>+R38/P38</f>
        <v>4.16</v>
      </c>
    </row>
    <row r="39" spans="1:21" ht="12.75">
      <c r="A39" s="29" t="s">
        <v>23</v>
      </c>
      <c r="B39" s="29">
        <v>2000</v>
      </c>
      <c r="C39" s="29" t="s">
        <v>7</v>
      </c>
      <c r="D39" s="29" t="s">
        <v>9</v>
      </c>
      <c r="E39" s="47">
        <f aca="true" t="shared" si="7" ref="E39:J39">+E25</f>
        <v>5.131</v>
      </c>
      <c r="F39" s="47">
        <f t="shared" si="7"/>
        <v>18.784000000000002</v>
      </c>
      <c r="G39" s="47">
        <f t="shared" si="7"/>
        <v>5.131</v>
      </c>
      <c r="H39" s="47">
        <f t="shared" si="7"/>
        <v>18.784000000000002</v>
      </c>
      <c r="I39" s="47">
        <f t="shared" si="7"/>
        <v>3.131</v>
      </c>
      <c r="J39" s="47">
        <f t="shared" si="7"/>
        <v>5.870000000000001</v>
      </c>
      <c r="K39" s="151">
        <f t="shared" si="1"/>
        <v>1.8748003832641333</v>
      </c>
      <c r="L39" s="151"/>
      <c r="M39" s="55"/>
      <c r="N39" s="149" t="s">
        <v>23</v>
      </c>
      <c r="O39" s="149"/>
      <c r="P39" s="47">
        <f>+$J$26</f>
        <v>1.25</v>
      </c>
      <c r="Q39" s="47">
        <f>+J27</f>
        <v>1.75</v>
      </c>
      <c r="R39" s="47">
        <f>+J25</f>
        <v>5.870000000000001</v>
      </c>
      <c r="S39" s="54">
        <f t="shared" si="4"/>
        <v>1.4</v>
      </c>
      <c r="T39" s="54">
        <f t="shared" si="4"/>
        <v>3.354285714285715</v>
      </c>
      <c r="U39" s="54">
        <f>+R39/P39</f>
        <v>4.696000000000001</v>
      </c>
    </row>
    <row r="40" spans="1:20" ht="12.75">
      <c r="A40" s="29"/>
      <c r="B40" s="29"/>
      <c r="C40" s="29"/>
      <c r="D40" s="29"/>
      <c r="E40" s="47"/>
      <c r="F40" s="47"/>
      <c r="G40" s="47"/>
      <c r="H40" s="47"/>
      <c r="I40" s="47"/>
      <c r="J40" s="47"/>
      <c r="K40" s="151"/>
      <c r="L40" s="151"/>
      <c r="M40" s="55"/>
      <c r="N40" s="55"/>
      <c r="O40" s="55"/>
      <c r="P40" s="55"/>
      <c r="Q40" s="55"/>
      <c r="R40" s="55"/>
      <c r="S40" s="55"/>
      <c r="T40" s="55"/>
    </row>
    <row r="41" spans="1:22" ht="12.75">
      <c r="A41" s="29" t="s">
        <v>19</v>
      </c>
      <c r="B41" s="29"/>
      <c r="C41" s="29" t="s">
        <v>81</v>
      </c>
      <c r="D41" s="29" t="s">
        <v>86</v>
      </c>
      <c r="E41" s="47">
        <v>1</v>
      </c>
      <c r="F41" s="47">
        <f>+F11</f>
        <v>4</v>
      </c>
      <c r="G41" s="47">
        <v>1</v>
      </c>
      <c r="H41" s="47">
        <f>+H11</f>
        <v>4</v>
      </c>
      <c r="I41" s="47">
        <v>1</v>
      </c>
      <c r="J41" s="47">
        <f>+J11</f>
        <v>1.25</v>
      </c>
      <c r="K41" s="151">
        <f aca="true" t="shared" si="8" ref="K41:K46">+J41/I41</f>
        <v>1.25</v>
      </c>
      <c r="L41" s="151"/>
      <c r="M41" s="55"/>
      <c r="N41" s="57" t="s">
        <v>104</v>
      </c>
      <c r="O41" s="55"/>
      <c r="P41" s="55"/>
      <c r="Q41" s="55"/>
      <c r="R41" s="55"/>
      <c r="S41" s="55"/>
      <c r="T41" s="55"/>
      <c r="U41" s="55"/>
      <c r="V41" s="55"/>
    </row>
    <row r="42" spans="1:22" ht="12.75">
      <c r="A42" s="29" t="s">
        <v>21</v>
      </c>
      <c r="B42" s="29"/>
      <c r="C42" s="29" t="s">
        <v>58</v>
      </c>
      <c r="D42" s="29" t="s">
        <v>9</v>
      </c>
      <c r="E42" s="47">
        <v>1</v>
      </c>
      <c r="F42" s="47">
        <f>+F19</f>
        <v>8.8</v>
      </c>
      <c r="G42" s="47">
        <v>1</v>
      </c>
      <c r="H42" s="47">
        <f>+H19</f>
        <v>8.8</v>
      </c>
      <c r="I42" s="47">
        <v>1</v>
      </c>
      <c r="J42" s="47">
        <f>+J19</f>
        <v>2.75</v>
      </c>
      <c r="K42" s="151">
        <f t="shared" si="8"/>
        <v>2.75</v>
      </c>
      <c r="L42" s="151"/>
      <c r="M42" s="55"/>
      <c r="N42" s="55"/>
      <c r="O42" s="55"/>
      <c r="P42" s="55"/>
      <c r="Q42" s="55"/>
      <c r="R42" s="55"/>
      <c r="S42" s="55"/>
      <c r="T42" s="55"/>
      <c r="U42" s="55"/>
      <c r="V42" s="55"/>
    </row>
    <row r="43" spans="1:21" ht="12.75">
      <c r="A43" s="29" t="s">
        <v>22</v>
      </c>
      <c r="B43" s="29"/>
      <c r="C43" s="29" t="s">
        <v>59</v>
      </c>
      <c r="D43" s="29" t="s">
        <v>10</v>
      </c>
      <c r="E43" s="47">
        <v>1</v>
      </c>
      <c r="F43" s="47">
        <f>+F23</f>
        <v>5.6</v>
      </c>
      <c r="G43" s="47">
        <v>1</v>
      </c>
      <c r="H43" s="47">
        <f>+H23</f>
        <v>5.6</v>
      </c>
      <c r="I43" s="47">
        <v>1</v>
      </c>
      <c r="J43" s="47">
        <f>+J23</f>
        <v>1.75</v>
      </c>
      <c r="K43" s="151">
        <f t="shared" si="8"/>
        <v>1.75</v>
      </c>
      <c r="L43" s="151"/>
      <c r="M43" s="55"/>
      <c r="N43" s="149" t="s">
        <v>17</v>
      </c>
      <c r="O43" s="149"/>
      <c r="P43" s="150" t="s">
        <v>89</v>
      </c>
      <c r="Q43" s="150"/>
      <c r="R43" s="150"/>
      <c r="S43" s="137" t="s">
        <v>90</v>
      </c>
      <c r="T43" s="138"/>
      <c r="U43" s="139"/>
    </row>
    <row r="44" spans="1:21" ht="12.75">
      <c r="A44" s="29" t="s">
        <v>23</v>
      </c>
      <c r="B44" s="29"/>
      <c r="C44" s="29" t="s">
        <v>60</v>
      </c>
      <c r="D44" s="29" t="s">
        <v>9</v>
      </c>
      <c r="E44" s="47">
        <v>1</v>
      </c>
      <c r="F44" s="47">
        <f>+F27</f>
        <v>5.6</v>
      </c>
      <c r="G44" s="47">
        <v>1</v>
      </c>
      <c r="H44" s="47">
        <f>+H27</f>
        <v>5.6</v>
      </c>
      <c r="I44" s="47">
        <v>1</v>
      </c>
      <c r="J44" s="47">
        <f>+J27</f>
        <v>1.75</v>
      </c>
      <c r="K44" s="151">
        <f t="shared" si="8"/>
        <v>1.75</v>
      </c>
      <c r="L44" s="151"/>
      <c r="M44" s="55"/>
      <c r="N44" s="149"/>
      <c r="O44" s="149"/>
      <c r="P44" s="47" t="s">
        <v>42</v>
      </c>
      <c r="Q44" s="47" t="s">
        <v>88</v>
      </c>
      <c r="R44" s="47" t="s">
        <v>41</v>
      </c>
      <c r="S44" s="54" t="s">
        <v>85</v>
      </c>
      <c r="T44" s="54" t="s">
        <v>82</v>
      </c>
      <c r="U44" s="54" t="s">
        <v>105</v>
      </c>
    </row>
    <row r="45" spans="1:21" ht="12.75">
      <c r="A45" s="29"/>
      <c r="B45" s="29"/>
      <c r="C45" s="29"/>
      <c r="D45" s="29"/>
      <c r="E45" s="47"/>
      <c r="F45" s="47"/>
      <c r="G45" s="47"/>
      <c r="H45" s="47"/>
      <c r="I45" s="47"/>
      <c r="J45" s="47"/>
      <c r="K45" s="151" t="s">
        <v>40</v>
      </c>
      <c r="L45" s="151"/>
      <c r="M45" s="55"/>
      <c r="N45" s="149" t="s">
        <v>19</v>
      </c>
      <c r="O45" s="149"/>
      <c r="P45" s="47">
        <f>+$P$26</f>
        <v>0.15</v>
      </c>
      <c r="Q45" s="47">
        <f>+P11</f>
        <v>1.1225127087872186</v>
      </c>
      <c r="R45" s="47">
        <f>+P9</f>
        <v>2.5135302399999997</v>
      </c>
      <c r="S45" s="54">
        <f aca="true" t="shared" si="9" ref="S45:T48">+Q45/P45</f>
        <v>7.483418058581458</v>
      </c>
      <c r="T45" s="54">
        <f t="shared" si="9"/>
        <v>2.239199806223717</v>
      </c>
      <c r="U45" s="54">
        <f>+R45/P45</f>
        <v>16.756868266666665</v>
      </c>
    </row>
    <row r="46" spans="1:21" ht="12.75">
      <c r="A46" s="29"/>
      <c r="B46" s="29"/>
      <c r="C46" s="29" t="s">
        <v>42</v>
      </c>
      <c r="D46" s="29"/>
      <c r="E46" s="47">
        <v>1</v>
      </c>
      <c r="F46" s="47">
        <f>+F26</f>
        <v>4</v>
      </c>
      <c r="G46" s="47">
        <v>1</v>
      </c>
      <c r="H46" s="47">
        <f>+H26</f>
        <v>4</v>
      </c>
      <c r="I46" s="47">
        <v>1</v>
      </c>
      <c r="J46" s="47">
        <f>+J26</f>
        <v>1.25</v>
      </c>
      <c r="K46" s="151">
        <f t="shared" si="8"/>
        <v>1.25</v>
      </c>
      <c r="L46" s="151"/>
      <c r="M46" s="55"/>
      <c r="N46" s="149" t="s">
        <v>21</v>
      </c>
      <c r="O46" s="149"/>
      <c r="P46" s="47">
        <f>+$P$26</f>
        <v>0.15</v>
      </c>
      <c r="Q46" s="47">
        <f>+P19</f>
        <v>1.9923645606390707</v>
      </c>
      <c r="R46" s="47">
        <f>+P17</f>
        <v>3.8264743703703705</v>
      </c>
      <c r="S46" s="54">
        <f t="shared" si="9"/>
        <v>13.282430404260472</v>
      </c>
      <c r="T46" s="54">
        <f t="shared" si="9"/>
        <v>1.9205693807076105</v>
      </c>
      <c r="U46" s="54">
        <f>+R46/P46</f>
        <v>25.50982913580247</v>
      </c>
    </row>
    <row r="47" spans="14:21" ht="12.75">
      <c r="N47" s="149" t="s">
        <v>22</v>
      </c>
      <c r="O47" s="149"/>
      <c r="P47" s="47">
        <f>+$P$26</f>
        <v>0.15</v>
      </c>
      <c r="Q47" s="47">
        <f>+P23</f>
        <v>1.6514332607116924</v>
      </c>
      <c r="R47" s="47">
        <f>+P21</f>
        <v>4.781190416666666</v>
      </c>
      <c r="S47" s="54">
        <f t="shared" si="9"/>
        <v>11.009555071411283</v>
      </c>
      <c r="T47" s="54">
        <f t="shared" si="9"/>
        <v>2.8951762874184763</v>
      </c>
      <c r="U47" s="54">
        <f>+R47/P47</f>
        <v>31.874602777777774</v>
      </c>
    </row>
    <row r="48" spans="14:21" ht="12.75">
      <c r="N48" s="149" t="s">
        <v>23</v>
      </c>
      <c r="O48" s="149"/>
      <c r="P48" s="47">
        <f>+$P$26</f>
        <v>0.15</v>
      </c>
      <c r="Q48" s="47">
        <f>+P27</f>
        <v>1.6090733478576615</v>
      </c>
      <c r="R48" s="47">
        <f>+P25</f>
        <v>5.172013141333333</v>
      </c>
      <c r="S48" s="54">
        <f t="shared" si="9"/>
        <v>10.727155652384411</v>
      </c>
      <c r="T48" s="54">
        <f t="shared" si="9"/>
        <v>3.2142805349547365</v>
      </c>
      <c r="U48" s="54">
        <f>+R48/P48</f>
        <v>34.48008760888889</v>
      </c>
    </row>
  </sheetData>
  <mergeCells count="47">
    <mergeCell ref="S34:U34"/>
    <mergeCell ref="S43:U43"/>
    <mergeCell ref="N47:O47"/>
    <mergeCell ref="N48:O48"/>
    <mergeCell ref="N45:O45"/>
    <mergeCell ref="N46:O46"/>
    <mergeCell ref="N43:O44"/>
    <mergeCell ref="P43:R43"/>
    <mergeCell ref="N39:O39"/>
    <mergeCell ref="N34:O35"/>
    <mergeCell ref="I3:J3"/>
    <mergeCell ref="B3:B4"/>
    <mergeCell ref="D3:D4"/>
    <mergeCell ref="C3:C4"/>
    <mergeCell ref="A32:A33"/>
    <mergeCell ref="C32:C33"/>
    <mergeCell ref="S3:T3"/>
    <mergeCell ref="K3:L3"/>
    <mergeCell ref="M3:N3"/>
    <mergeCell ref="O3:P3"/>
    <mergeCell ref="Q3:R3"/>
    <mergeCell ref="A3:A4"/>
    <mergeCell ref="E3:F3"/>
    <mergeCell ref="G3:H3"/>
    <mergeCell ref="K32:L33"/>
    <mergeCell ref="K34:L34"/>
    <mergeCell ref="K35:L35"/>
    <mergeCell ref="B32:B33"/>
    <mergeCell ref="D32:D33"/>
    <mergeCell ref="E32:F32"/>
    <mergeCell ref="G32:H32"/>
    <mergeCell ref="I32:J32"/>
    <mergeCell ref="K40:L40"/>
    <mergeCell ref="K36:L36"/>
    <mergeCell ref="K37:L37"/>
    <mergeCell ref="K38:L38"/>
    <mergeCell ref="K39:L39"/>
    <mergeCell ref="K45:L45"/>
    <mergeCell ref="K46:L46"/>
    <mergeCell ref="K41:L41"/>
    <mergeCell ref="K42:L42"/>
    <mergeCell ref="K43:L43"/>
    <mergeCell ref="K44:L44"/>
    <mergeCell ref="N36:O36"/>
    <mergeCell ref="N37:O37"/>
    <mergeCell ref="N38:O38"/>
    <mergeCell ref="P34:R34"/>
  </mergeCells>
  <printOptions gridLines="1"/>
  <pageMargins left="0.75" right="0.75" top="1" bottom="1" header="0.5" footer="0.5"/>
  <pageSetup fitToHeight="1" fitToWidth="1" horizontalDpi="300" verticalDpi="300" orientation="landscape" scale="67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W35"/>
  <sheetViews>
    <sheetView view="pageBreakPreview" zoomScale="60" workbookViewId="0" topLeftCell="A1">
      <pane xSplit="1" ySplit="3" topLeftCell="D4" activePane="bottomRight" state="frozen"/>
      <selection pane="topLeft" activeCell="R38" sqref="R38"/>
      <selection pane="topRight" activeCell="R38" sqref="R38"/>
      <selection pane="bottomLeft" activeCell="R38" sqref="R38"/>
      <selection pane="bottomRight" activeCell="A29" sqref="A29:IV29"/>
    </sheetView>
  </sheetViews>
  <sheetFormatPr defaultColWidth="9.140625" defaultRowHeight="12.75"/>
  <cols>
    <col min="1" max="1" width="24.28125" style="0" customWidth="1"/>
    <col min="2" max="2" width="10.00390625" style="0" customWidth="1"/>
    <col min="3" max="3" width="6.7109375" style="0" customWidth="1"/>
    <col min="4" max="4" width="7.00390625" style="0" customWidth="1"/>
    <col min="5" max="22" width="7.7109375" style="0" customWidth="1"/>
  </cols>
  <sheetData>
    <row r="1" ht="12.75">
      <c r="A1" s="48" t="s">
        <v>64</v>
      </c>
    </row>
    <row r="3" spans="1:22" ht="12.75">
      <c r="A3" s="1" t="s">
        <v>17</v>
      </c>
      <c r="B3" s="1" t="s">
        <v>11</v>
      </c>
      <c r="C3" s="1">
        <v>2001</v>
      </c>
      <c r="D3" s="1">
        <v>2002</v>
      </c>
      <c r="E3" s="1">
        <v>2003</v>
      </c>
      <c r="F3" s="1">
        <v>2004</v>
      </c>
      <c r="G3" s="1">
        <v>2005</v>
      </c>
      <c r="H3" s="1">
        <v>2006</v>
      </c>
      <c r="I3" s="1">
        <v>2007</v>
      </c>
      <c r="J3" s="1">
        <v>2008</v>
      </c>
      <c r="K3" s="1">
        <v>2009</v>
      </c>
      <c r="L3" s="1">
        <v>2010</v>
      </c>
      <c r="M3" s="1">
        <v>2011</v>
      </c>
      <c r="N3" s="1">
        <v>2012</v>
      </c>
      <c r="O3" s="1">
        <v>2013</v>
      </c>
      <c r="P3" s="1">
        <v>2014</v>
      </c>
      <c r="Q3" s="1">
        <v>2015</v>
      </c>
      <c r="R3" s="1">
        <v>2016</v>
      </c>
      <c r="S3" s="1">
        <v>2017</v>
      </c>
      <c r="T3" s="1">
        <v>2018</v>
      </c>
      <c r="U3" s="1">
        <v>2019</v>
      </c>
      <c r="V3" s="1">
        <v>2020</v>
      </c>
    </row>
    <row r="4" spans="1:22" ht="12.75">
      <c r="A4" s="12" t="s">
        <v>18</v>
      </c>
      <c r="B4" s="7" t="s">
        <v>41</v>
      </c>
      <c r="C4" s="31">
        <f>'2001'!C6</f>
        <v>0</v>
      </c>
      <c r="D4" s="34">
        <f>'2002'!C6</f>
        <v>0</v>
      </c>
      <c r="E4" s="31">
        <f>'2003'!C6</f>
        <v>479.4547263681592</v>
      </c>
      <c r="F4" s="31">
        <f>'2004'!C6</f>
        <v>479.4547263681592</v>
      </c>
      <c r="G4" s="31">
        <f>'2005'!C6</f>
        <v>512.6599907129271</v>
      </c>
      <c r="H4" s="31">
        <f>'2006'!C6</f>
        <v>1382.8001734127824</v>
      </c>
      <c r="I4" s="31">
        <f>'2007'!C6</f>
        <v>1696.996343188699</v>
      </c>
      <c r="J4" s="31">
        <f>'2008'!$C6</f>
        <v>2022.6412287964595</v>
      </c>
      <c r="K4" s="31">
        <f>'2009'!$C6</f>
        <v>2958.2431919602445</v>
      </c>
      <c r="L4" s="31">
        <f>'2010'!$C6</f>
        <v>3374.5268763714803</v>
      </c>
      <c r="M4" s="31">
        <f>'2011'!$C6</f>
        <v>3710.2722330959186</v>
      </c>
      <c r="N4" s="31">
        <f>'2012'!$C6</f>
        <v>5130.391274581786</v>
      </c>
      <c r="O4" s="31">
        <f>'2013'!$C6</f>
        <v>5130.391274581786</v>
      </c>
      <c r="P4" s="31">
        <f>'2014'!$C6</f>
        <v>5130.391274581786</v>
      </c>
      <c r="Q4" s="31">
        <f>'2015'!$C6</f>
        <v>6840.521699442382</v>
      </c>
      <c r="R4" s="31">
        <f>'2016'!$C6</f>
        <v>6840.521699442382</v>
      </c>
      <c r="S4" s="31">
        <f>'2017'!$C6</f>
        <v>6840.521699442382</v>
      </c>
      <c r="T4" s="31">
        <f>'2018'!$C6</f>
        <v>8550.652124302977</v>
      </c>
      <c r="U4" s="31">
        <f>'2019'!$C6</f>
        <v>8550.652124302977</v>
      </c>
      <c r="V4" s="31">
        <f>'2020'!$C6</f>
        <v>8550.652124302977</v>
      </c>
    </row>
    <row r="5" spans="1:22" ht="12.75">
      <c r="A5" s="14"/>
      <c r="B5" s="7" t="s">
        <v>42</v>
      </c>
      <c r="C5" s="31">
        <f>'2001'!C7</f>
        <v>0</v>
      </c>
      <c r="D5" s="34">
        <f>'2002'!C7</f>
        <v>0</v>
      </c>
      <c r="E5" s="31">
        <f>'2003'!C7</f>
        <v>0</v>
      </c>
      <c r="F5" s="31">
        <f>'2004'!C7</f>
        <v>0</v>
      </c>
      <c r="G5" s="31">
        <f>'2005'!C7</f>
        <v>0</v>
      </c>
      <c r="H5" s="31">
        <f>'2006'!C7</f>
        <v>0</v>
      </c>
      <c r="I5" s="31">
        <f>'2007'!C7</f>
        <v>0</v>
      </c>
      <c r="J5" s="31">
        <f>'2008'!C7</f>
        <v>0</v>
      </c>
      <c r="K5" s="31">
        <f>'2009'!$C7</f>
        <v>0</v>
      </c>
      <c r="L5" s="31">
        <f>'2010'!$C7</f>
        <v>0</v>
      </c>
      <c r="M5" s="31">
        <f>'2011'!$C7</f>
        <v>0</v>
      </c>
      <c r="N5" s="31">
        <f>'2012'!$C7</f>
        <v>0</v>
      </c>
      <c r="O5" s="31">
        <f>'2013'!$C7</f>
        <v>0</v>
      </c>
      <c r="P5" s="31">
        <f>'2014'!$C7</f>
        <v>0</v>
      </c>
      <c r="Q5" s="31">
        <f>'2015'!$C7</f>
        <v>0</v>
      </c>
      <c r="R5" s="31">
        <f>'2016'!$C7</f>
        <v>0</v>
      </c>
      <c r="S5" s="31">
        <f>'2017'!$C7</f>
        <v>0</v>
      </c>
      <c r="T5" s="31">
        <f>'2018'!$C7</f>
        <v>0</v>
      </c>
      <c r="U5" s="31">
        <f>'2019'!$C7</f>
        <v>0</v>
      </c>
      <c r="V5" s="31">
        <f>'2020'!$C7</f>
        <v>0</v>
      </c>
    </row>
    <row r="6" spans="1:22" ht="12.75">
      <c r="A6" s="14"/>
      <c r="B6" s="7" t="s">
        <v>27</v>
      </c>
      <c r="C6" s="31">
        <f>'2001'!C8</f>
        <v>0</v>
      </c>
      <c r="D6" s="34">
        <f>'2002'!C8</f>
        <v>0</v>
      </c>
      <c r="E6" s="31">
        <f>'2003'!C8</f>
        <v>0</v>
      </c>
      <c r="F6" s="31">
        <f>'2004'!C8</f>
        <v>0</v>
      </c>
      <c r="G6" s="31">
        <f>'2005'!C8</f>
        <v>0</v>
      </c>
      <c r="H6" s="31">
        <f>'2006'!C8</f>
        <v>0</v>
      </c>
      <c r="I6" s="31">
        <f>'2007'!C8</f>
        <v>0</v>
      </c>
      <c r="J6" s="31">
        <f>'2008'!C8</f>
        <v>0</v>
      </c>
      <c r="K6" s="31">
        <f>'2009'!$C8</f>
        <v>0</v>
      </c>
      <c r="L6" s="31">
        <f>'2010'!$C8</f>
        <v>0</v>
      </c>
      <c r="M6" s="31">
        <f>'2011'!$C8</f>
        <v>0</v>
      </c>
      <c r="N6" s="31">
        <f>'2012'!$C8</f>
        <v>0</v>
      </c>
      <c r="O6" s="31">
        <f>'2013'!$C8</f>
        <v>0</v>
      </c>
      <c r="P6" s="31">
        <f>'2014'!$C8</f>
        <v>0</v>
      </c>
      <c r="Q6" s="31">
        <f>'2015'!$C8</f>
        <v>0</v>
      </c>
      <c r="R6" s="31">
        <f>'2016'!$C8</f>
        <v>0</v>
      </c>
      <c r="S6" s="31">
        <f>'2017'!$C8</f>
        <v>0</v>
      </c>
      <c r="T6" s="31">
        <f>'2018'!$C8</f>
        <v>0</v>
      </c>
      <c r="U6" s="31">
        <f>'2019'!$C8</f>
        <v>0</v>
      </c>
      <c r="V6" s="31">
        <f>'2020'!$C8</f>
        <v>0</v>
      </c>
    </row>
    <row r="7" spans="1:22" ht="12.75">
      <c r="A7" s="14"/>
      <c r="B7" s="7" t="s">
        <v>37</v>
      </c>
      <c r="C7" s="31">
        <f>'2001'!C9</f>
        <v>0</v>
      </c>
      <c r="D7" s="34">
        <f>'2002'!C9</f>
        <v>0</v>
      </c>
      <c r="E7" s="31">
        <f>'2003'!C9</f>
        <v>479.4547263681592</v>
      </c>
      <c r="F7" s="31">
        <f>'2004'!C9</f>
        <v>479.4547263681592</v>
      </c>
      <c r="G7" s="31">
        <f>'2005'!C9</f>
        <v>512.6599907129271</v>
      </c>
      <c r="H7" s="31">
        <f>'2006'!C9</f>
        <v>1382.8001734127824</v>
      </c>
      <c r="I7" s="31">
        <f>'2007'!C9</f>
        <v>1696.996343188699</v>
      </c>
      <c r="J7" s="31">
        <f>'2008'!C9</f>
        <v>2022.6412287964595</v>
      </c>
      <c r="K7" s="31">
        <f>'2009'!$C9</f>
        <v>2958.2431919602445</v>
      </c>
      <c r="L7" s="31">
        <f>'2010'!$C9</f>
        <v>3374.5268763714803</v>
      </c>
      <c r="M7" s="31">
        <f>'2011'!$C9</f>
        <v>3710.2722330959186</v>
      </c>
      <c r="N7" s="31">
        <f>'2012'!$C9</f>
        <v>5130.391274581786</v>
      </c>
      <c r="O7" s="31">
        <f>'2013'!$C9</f>
        <v>5130.391274581786</v>
      </c>
      <c r="P7" s="31">
        <f>'2014'!$C9</f>
        <v>5130.391274581786</v>
      </c>
      <c r="Q7" s="31">
        <f>'2015'!$C9</f>
        <v>6840.521699442382</v>
      </c>
      <c r="R7" s="31">
        <f>'2016'!$C9</f>
        <v>6840.521699442382</v>
      </c>
      <c r="S7" s="31">
        <f>'2017'!$C9</f>
        <v>6840.521699442382</v>
      </c>
      <c r="T7" s="31">
        <f>'2018'!$C9</f>
        <v>8550.652124302977</v>
      </c>
      <c r="U7" s="31">
        <f>'2019'!$C9</f>
        <v>8550.652124302977</v>
      </c>
      <c r="V7" s="31">
        <f>'2020'!$C9</f>
        <v>8550.652124302977</v>
      </c>
    </row>
    <row r="8" spans="1:22" ht="12.75">
      <c r="A8" s="9" t="s">
        <v>19</v>
      </c>
      <c r="B8" s="1" t="s">
        <v>41</v>
      </c>
      <c r="C8" s="40">
        <f>'2001'!C10</f>
        <v>0</v>
      </c>
      <c r="D8" s="38">
        <f>'2002'!C10</f>
        <v>0</v>
      </c>
      <c r="E8" s="40">
        <f>'2003'!C10</f>
        <v>1339.1883040935675</v>
      </c>
      <c r="F8" s="40">
        <f>'2004'!C10</f>
        <v>1339.1883040935675</v>
      </c>
      <c r="G8" s="40">
        <f>'2005'!C10</f>
        <v>1325.407047155814</v>
      </c>
      <c r="H8" s="89">
        <f>'2006'!C10</f>
        <v>1695.7663497217366</v>
      </c>
      <c r="I8" s="89">
        <f>'2007'!C10</f>
        <v>1900.0044971595537</v>
      </c>
      <c r="J8" s="89">
        <f>'2008'!C10</f>
        <v>2032.9231714892576</v>
      </c>
      <c r="K8" s="89">
        <f>'2009'!$C10</f>
        <v>2912.77641817926</v>
      </c>
      <c r="L8" s="89">
        <f>'2010'!$C10</f>
        <v>3217.233260032541</v>
      </c>
      <c r="M8" s="89">
        <f>'2011'!$C10</f>
        <v>3540.545746888087</v>
      </c>
      <c r="N8" s="89">
        <f>'2012'!$C10</f>
        <v>4837.481644684934</v>
      </c>
      <c r="O8" s="89">
        <f>'2013'!$C10</f>
        <v>4837.481644684934</v>
      </c>
      <c r="P8" s="89">
        <f>'2014'!$C10</f>
        <v>4837.481644684934</v>
      </c>
      <c r="Q8" s="89">
        <f>'2015'!$C10</f>
        <v>6449.975526246579</v>
      </c>
      <c r="R8" s="89">
        <f>'2016'!$C10</f>
        <v>6449.975526246579</v>
      </c>
      <c r="S8" s="89">
        <f>'2017'!$C10</f>
        <v>6449.975526246579</v>
      </c>
      <c r="T8" s="89">
        <f>'2018'!$C10</f>
        <v>8062.469407808224</v>
      </c>
      <c r="U8" s="89">
        <f>'2019'!$C10</f>
        <v>8062.469407808224</v>
      </c>
      <c r="V8" s="89">
        <f>'2020'!$C10</f>
        <v>8062.469407808224</v>
      </c>
    </row>
    <row r="9" spans="1:22" ht="12.75">
      <c r="A9" s="10"/>
      <c r="B9" s="1" t="s">
        <v>42</v>
      </c>
      <c r="C9" s="40">
        <f>'2001'!C11</f>
        <v>0</v>
      </c>
      <c r="D9" s="38">
        <f>'2002'!C11</f>
        <v>0</v>
      </c>
      <c r="E9" s="40">
        <f>'2003'!C11</f>
        <v>0</v>
      </c>
      <c r="F9" s="40">
        <f>'2004'!C11</f>
        <v>0</v>
      </c>
      <c r="G9" s="40">
        <f>'2005'!C11</f>
        <v>0</v>
      </c>
      <c r="H9" s="89">
        <f>'2006'!C11</f>
        <v>0</v>
      </c>
      <c r="I9" s="89">
        <f>'2007'!C11</f>
        <v>0</v>
      </c>
      <c r="J9" s="89">
        <f>'2008'!C11</f>
        <v>0</v>
      </c>
      <c r="K9" s="89">
        <f>'2009'!$C11</f>
        <v>0</v>
      </c>
      <c r="L9" s="89">
        <f>'2010'!$C11</f>
        <v>0</v>
      </c>
      <c r="M9" s="89">
        <f>'2011'!$C11</f>
        <v>0</v>
      </c>
      <c r="N9" s="89">
        <f>'2012'!$C11</f>
        <v>0</v>
      </c>
      <c r="O9" s="89">
        <f>'2013'!$C11</f>
        <v>0</v>
      </c>
      <c r="P9" s="89">
        <f>'2014'!$C11</f>
        <v>0</v>
      </c>
      <c r="Q9" s="89">
        <f>'2015'!$C11</f>
        <v>0</v>
      </c>
      <c r="R9" s="89">
        <f>'2016'!$C11</f>
        <v>0</v>
      </c>
      <c r="S9" s="89">
        <f>'2017'!$C11</f>
        <v>0</v>
      </c>
      <c r="T9" s="89">
        <f>'2018'!$C11</f>
        <v>0</v>
      </c>
      <c r="U9" s="89">
        <f>'2019'!$C11</f>
        <v>0</v>
      </c>
      <c r="V9" s="89">
        <f>'2020'!$C11</f>
        <v>0</v>
      </c>
    </row>
    <row r="10" spans="1:22" ht="12.75">
      <c r="A10" s="4"/>
      <c r="B10" s="1" t="s">
        <v>27</v>
      </c>
      <c r="C10" s="40">
        <f>'2001'!C12</f>
        <v>0</v>
      </c>
      <c r="D10" s="38">
        <f>'2002'!C12</f>
        <v>0</v>
      </c>
      <c r="E10" s="40">
        <f>'2003'!C12</f>
        <v>0</v>
      </c>
      <c r="F10" s="40">
        <f>'2004'!C12</f>
        <v>0</v>
      </c>
      <c r="G10" s="40">
        <f>'2005'!C12</f>
        <v>0</v>
      </c>
      <c r="H10" s="89">
        <f>'2006'!C12</f>
        <v>0</v>
      </c>
      <c r="I10" s="89">
        <f>'2007'!C12</f>
        <v>0</v>
      </c>
      <c r="J10" s="89">
        <f>'2008'!C12</f>
        <v>0</v>
      </c>
      <c r="K10" s="89">
        <f>'2009'!$C12</f>
        <v>0</v>
      </c>
      <c r="L10" s="89">
        <f>'2010'!$C12</f>
        <v>0</v>
      </c>
      <c r="M10" s="89">
        <f>'2011'!$C12</f>
        <v>0</v>
      </c>
      <c r="N10" s="89">
        <f>'2012'!$C12</f>
        <v>0</v>
      </c>
      <c r="O10" s="89">
        <f>'2013'!$C12</f>
        <v>0</v>
      </c>
      <c r="P10" s="89">
        <f>'2014'!$C12</f>
        <v>0</v>
      </c>
      <c r="Q10" s="89">
        <f>'2015'!$C12</f>
        <v>0</v>
      </c>
      <c r="R10" s="89">
        <f>'2016'!$C12</f>
        <v>0</v>
      </c>
      <c r="S10" s="89">
        <f>'2017'!$C12</f>
        <v>0</v>
      </c>
      <c r="T10" s="89">
        <f>'2018'!$C12</f>
        <v>0</v>
      </c>
      <c r="U10" s="89">
        <f>'2019'!$C12</f>
        <v>0</v>
      </c>
      <c r="V10" s="89">
        <f>'2020'!$C12</f>
        <v>0</v>
      </c>
    </row>
    <row r="11" spans="1:22" ht="12.75">
      <c r="A11" s="10"/>
      <c r="B11" s="1" t="s">
        <v>37</v>
      </c>
      <c r="C11" s="40">
        <f>'2001'!C13</f>
        <v>0</v>
      </c>
      <c r="D11" s="38">
        <f>'2002'!C13</f>
        <v>0</v>
      </c>
      <c r="E11" s="40">
        <f>'2003'!C13</f>
        <v>1339.1883040935675</v>
      </c>
      <c r="F11" s="40">
        <f>'2004'!C13</f>
        <v>1339.1883040935675</v>
      </c>
      <c r="G11" s="40">
        <f>'2005'!C13</f>
        <v>1325.407047155814</v>
      </c>
      <c r="H11" s="89">
        <f>'2006'!C13</f>
        <v>1695.7663497217366</v>
      </c>
      <c r="I11" s="89">
        <f>'2007'!C13</f>
        <v>1900.0044971595537</v>
      </c>
      <c r="J11" s="89">
        <f>'2008'!C13</f>
        <v>2032.9231714892576</v>
      </c>
      <c r="K11" s="89">
        <f>'2009'!$C13</f>
        <v>2912.77641817926</v>
      </c>
      <c r="L11" s="89">
        <f>'2010'!$C13</f>
        <v>3217.233260032541</v>
      </c>
      <c r="M11" s="89">
        <f>'2011'!$C13</f>
        <v>3540.545746888087</v>
      </c>
      <c r="N11" s="89">
        <f>'2012'!$C13</f>
        <v>4837.481644684934</v>
      </c>
      <c r="O11" s="89">
        <f>'2013'!$C13</f>
        <v>4837.481644684934</v>
      </c>
      <c r="P11" s="89">
        <f>'2014'!$C13</f>
        <v>4837.481644684934</v>
      </c>
      <c r="Q11" s="89">
        <f>'2015'!$C13</f>
        <v>6449.975526246579</v>
      </c>
      <c r="R11" s="89">
        <f>'2016'!$C13</f>
        <v>6449.975526246579</v>
      </c>
      <c r="S11" s="89">
        <f>'2017'!$C13</f>
        <v>6449.975526246579</v>
      </c>
      <c r="T11" s="89">
        <f>'2018'!$C13</f>
        <v>8062.469407808224</v>
      </c>
      <c r="U11" s="89">
        <f>'2019'!$C13</f>
        <v>8062.469407808224</v>
      </c>
      <c r="V11" s="89">
        <f>'2020'!$C13</f>
        <v>8062.469407808224</v>
      </c>
    </row>
    <row r="12" spans="1:22" ht="12.75">
      <c r="A12" s="14" t="s">
        <v>20</v>
      </c>
      <c r="B12" s="7" t="s">
        <v>41</v>
      </c>
      <c r="C12" s="31">
        <f>'2001'!C14</f>
        <v>0</v>
      </c>
      <c r="D12" s="34">
        <f>'2002'!C14</f>
        <v>0</v>
      </c>
      <c r="E12" s="31">
        <f>'2003'!C14</f>
        <v>1042.2067363530778</v>
      </c>
      <c r="F12" s="31">
        <f>'2004'!C14</f>
        <v>1042.2067363530778</v>
      </c>
      <c r="G12" s="31">
        <f>'2005'!C14</f>
        <v>1006.9768253233364</v>
      </c>
      <c r="H12" s="31">
        <f>'2006'!C14</f>
        <v>1195.1495052235416</v>
      </c>
      <c r="I12" s="31">
        <f>'2007'!C14</f>
        <v>1324.69773906228</v>
      </c>
      <c r="J12" s="31">
        <f>'2008'!C14</f>
        <v>1428.6568845812833</v>
      </c>
      <c r="K12" s="31">
        <f>'2009'!$C14</f>
        <v>2072.679401702937</v>
      </c>
      <c r="L12" s="31">
        <f>'2010'!$C14</f>
        <v>2318.43857997847</v>
      </c>
      <c r="M12" s="31">
        <f>'2011'!$C14</f>
        <v>2538.748982660594</v>
      </c>
      <c r="N12" s="31">
        <f>'2012'!$C14</f>
        <v>3573.0422343597456</v>
      </c>
      <c r="O12" s="31">
        <f>'2013'!$C14</f>
        <v>3573.0422343597456</v>
      </c>
      <c r="P12" s="31">
        <f>'2014'!$C14</f>
        <v>3573.0422343597456</v>
      </c>
      <c r="Q12" s="31">
        <f>'2015'!$C14</f>
        <v>4764.056312479662</v>
      </c>
      <c r="R12" s="31">
        <f>'2016'!$C14</f>
        <v>4764.056312479662</v>
      </c>
      <c r="S12" s="31">
        <f>'2017'!$C14</f>
        <v>4764.056312479662</v>
      </c>
      <c r="T12" s="31">
        <f>'2018'!$C14</f>
        <v>5955.070390599578</v>
      </c>
      <c r="U12" s="31">
        <f>'2019'!$C14</f>
        <v>5955.070390599578</v>
      </c>
      <c r="V12" s="31">
        <f>'2020'!$C14</f>
        <v>5955.070390599578</v>
      </c>
    </row>
    <row r="13" spans="1:22" ht="12.75">
      <c r="A13" s="14"/>
      <c r="B13" s="7" t="s">
        <v>42</v>
      </c>
      <c r="C13" s="31">
        <f>'2001'!C15</f>
        <v>0</v>
      </c>
      <c r="D13" s="34">
        <f>'2002'!C15</f>
        <v>0</v>
      </c>
      <c r="E13" s="31">
        <f>'2003'!C15</f>
        <v>0</v>
      </c>
      <c r="F13" s="31">
        <f>'2004'!C15</f>
        <v>0</v>
      </c>
      <c r="G13" s="31">
        <f>'2005'!C15</f>
        <v>0</v>
      </c>
      <c r="H13" s="31">
        <f>'2006'!C15</f>
        <v>0</v>
      </c>
      <c r="I13" s="31">
        <f>'2007'!C15</f>
        <v>0</v>
      </c>
      <c r="J13" s="31">
        <f>'2008'!C15</f>
        <v>0</v>
      </c>
      <c r="K13" s="31">
        <f>'2009'!$C15</f>
        <v>0</v>
      </c>
      <c r="L13" s="31">
        <f>'2010'!$C15</f>
        <v>0</v>
      </c>
      <c r="M13" s="31">
        <f>'2011'!$C15</f>
        <v>0</v>
      </c>
      <c r="N13" s="31">
        <f>'2012'!$C15</f>
        <v>0</v>
      </c>
      <c r="O13" s="31">
        <f>'2013'!$C15</f>
        <v>0</v>
      </c>
      <c r="P13" s="31">
        <f>'2014'!$C15</f>
        <v>0</v>
      </c>
      <c r="Q13" s="31">
        <f>'2015'!$C15</f>
        <v>0</v>
      </c>
      <c r="R13" s="31">
        <f>'2016'!$C15</f>
        <v>0</v>
      </c>
      <c r="S13" s="31">
        <f>'2017'!$C15</f>
        <v>0</v>
      </c>
      <c r="T13" s="31">
        <f>'2018'!$C15</f>
        <v>0</v>
      </c>
      <c r="U13" s="31">
        <f>'2019'!$C15</f>
        <v>0</v>
      </c>
      <c r="V13" s="31">
        <f>'2020'!$C15</f>
        <v>0</v>
      </c>
    </row>
    <row r="14" spans="1:22" ht="12.75">
      <c r="A14" s="14"/>
      <c r="B14" s="7" t="s">
        <v>27</v>
      </c>
      <c r="C14" s="31">
        <f>'2001'!C16</f>
        <v>0</v>
      </c>
      <c r="D14" s="34">
        <f>'2002'!C16</f>
        <v>0</v>
      </c>
      <c r="E14" s="31">
        <f>'2003'!C16</f>
        <v>0</v>
      </c>
      <c r="F14" s="31">
        <f>'2004'!C16</f>
        <v>0</v>
      </c>
      <c r="G14" s="31">
        <f>'2005'!C16</f>
        <v>0</v>
      </c>
      <c r="H14" s="31">
        <f>'2006'!C16</f>
        <v>0</v>
      </c>
      <c r="I14" s="31">
        <f>'2007'!C16</f>
        <v>0</v>
      </c>
      <c r="J14" s="31">
        <f>'2008'!C16</f>
        <v>0</v>
      </c>
      <c r="K14" s="31">
        <f>'2009'!$C16</f>
        <v>0</v>
      </c>
      <c r="L14" s="31">
        <f>'2010'!$C16</f>
        <v>0</v>
      </c>
      <c r="M14" s="31">
        <f>'2011'!$C16</f>
        <v>0</v>
      </c>
      <c r="N14" s="31">
        <f>'2012'!$C16</f>
        <v>0</v>
      </c>
      <c r="O14" s="31">
        <f>'2013'!$C16</f>
        <v>0</v>
      </c>
      <c r="P14" s="31">
        <f>'2014'!$C16</f>
        <v>0</v>
      </c>
      <c r="Q14" s="31">
        <f>'2015'!$C16</f>
        <v>0</v>
      </c>
      <c r="R14" s="31">
        <f>'2016'!$C16</f>
        <v>0</v>
      </c>
      <c r="S14" s="31">
        <f>'2017'!$C16</f>
        <v>0</v>
      </c>
      <c r="T14" s="31">
        <f>'2018'!$C16</f>
        <v>0</v>
      </c>
      <c r="U14" s="31">
        <f>'2019'!$C16</f>
        <v>0</v>
      </c>
      <c r="V14" s="31">
        <f>'2020'!$C16</f>
        <v>0</v>
      </c>
    </row>
    <row r="15" spans="1:22" ht="12.75">
      <c r="A15" s="14"/>
      <c r="B15" s="7" t="s">
        <v>37</v>
      </c>
      <c r="C15" s="31">
        <f>'2001'!C17</f>
        <v>0</v>
      </c>
      <c r="D15" s="34">
        <f>'2002'!C17</f>
        <v>0</v>
      </c>
      <c r="E15" s="31">
        <f>'2003'!C17</f>
        <v>1042.2067363530778</v>
      </c>
      <c r="F15" s="31">
        <f>'2004'!C17</f>
        <v>1042.2067363530778</v>
      </c>
      <c r="G15" s="31">
        <f>'2005'!C17</f>
        <v>1006.9768253233364</v>
      </c>
      <c r="H15" s="31">
        <f>'2006'!C17</f>
        <v>1195.1495052235416</v>
      </c>
      <c r="I15" s="31">
        <f>'2007'!C17</f>
        <v>1324.69773906228</v>
      </c>
      <c r="J15" s="31">
        <f>'2008'!C17</f>
        <v>1428.6568845812833</v>
      </c>
      <c r="K15" s="31">
        <f>'2009'!$C17</f>
        <v>2072.679401702937</v>
      </c>
      <c r="L15" s="31">
        <f>'2010'!$C17</f>
        <v>2318.43857997847</v>
      </c>
      <c r="M15" s="31">
        <f>'2011'!$C17</f>
        <v>2538.748982660594</v>
      </c>
      <c r="N15" s="31">
        <f>'2012'!$C17</f>
        <v>3573.0422343597456</v>
      </c>
      <c r="O15" s="31">
        <f>'2013'!$C17</f>
        <v>3573.0422343597456</v>
      </c>
      <c r="P15" s="31">
        <f>'2014'!$C17</f>
        <v>3573.0422343597456</v>
      </c>
      <c r="Q15" s="31">
        <f>'2015'!$C17</f>
        <v>4764.056312479662</v>
      </c>
      <c r="R15" s="31">
        <f>'2016'!$C17</f>
        <v>4764.056312479662</v>
      </c>
      <c r="S15" s="31">
        <f>'2017'!$C17</f>
        <v>4764.056312479662</v>
      </c>
      <c r="T15" s="31">
        <f>'2018'!$C17</f>
        <v>5955.070390599578</v>
      </c>
      <c r="U15" s="31">
        <f>'2019'!$C17</f>
        <v>5955.070390599578</v>
      </c>
      <c r="V15" s="31">
        <f>'2020'!$C17</f>
        <v>5955.070390599578</v>
      </c>
    </row>
    <row r="16" spans="1:23" ht="12.75">
      <c r="A16" s="9" t="s">
        <v>21</v>
      </c>
      <c r="B16" s="1" t="s">
        <v>41</v>
      </c>
      <c r="C16" s="40">
        <f>'2001'!C18</f>
        <v>0</v>
      </c>
      <c r="D16" s="38">
        <f>'2002'!C18</f>
        <v>0</v>
      </c>
      <c r="E16" s="40">
        <f>'2003'!C18</f>
        <v>652.9168330006653</v>
      </c>
      <c r="F16" s="40">
        <f>'2004'!C18</f>
        <v>652.9168330006653</v>
      </c>
      <c r="G16" s="40">
        <f>'2005'!C18</f>
        <v>680.7826713795214</v>
      </c>
      <c r="H16" s="89">
        <f>'2006'!C18</f>
        <v>1132.4105640306664</v>
      </c>
      <c r="I16" s="89">
        <f>'2007'!C18</f>
        <v>1190.1925768404678</v>
      </c>
      <c r="J16" s="89">
        <f>'2008'!C18</f>
        <v>1248.489155736566</v>
      </c>
      <c r="K16" s="89">
        <f>'2009'!$C18</f>
        <v>1675.4070833235096</v>
      </c>
      <c r="L16" s="89">
        <f>'2010'!$C18</f>
        <v>1766.6341371876763</v>
      </c>
      <c r="M16" s="89">
        <f>'2011'!$C18</f>
        <v>1793.9965688803031</v>
      </c>
      <c r="N16" s="89">
        <f>'2012'!$C18</f>
        <v>2407.8827310072693</v>
      </c>
      <c r="O16" s="89">
        <f>'2013'!$C18</f>
        <v>2407.8827310072693</v>
      </c>
      <c r="P16" s="89">
        <f>'2014'!$C18</f>
        <v>2407.8827310072693</v>
      </c>
      <c r="Q16" s="89">
        <f>'2015'!$C18</f>
        <v>3210.5103080096924</v>
      </c>
      <c r="R16" s="89">
        <f>'2016'!$C18</f>
        <v>3210.5103080096924</v>
      </c>
      <c r="S16" s="89">
        <f>'2017'!$C18</f>
        <v>3210.5103080096924</v>
      </c>
      <c r="T16" s="89">
        <f>'2018'!$C18</f>
        <v>4013.1378850121155</v>
      </c>
      <c r="U16" s="89">
        <f>'2019'!$C18</f>
        <v>4013.1378850121155</v>
      </c>
      <c r="V16" s="89">
        <f>'2020'!$C18</f>
        <v>4013.1378850121155</v>
      </c>
      <c r="W16" s="23"/>
    </row>
    <row r="17" spans="1:23" ht="12.75">
      <c r="A17" s="10"/>
      <c r="B17" s="1" t="s">
        <v>42</v>
      </c>
      <c r="C17" s="40">
        <f>'2001'!C19</f>
        <v>0</v>
      </c>
      <c r="D17" s="38">
        <f>'2002'!C19</f>
        <v>0</v>
      </c>
      <c r="E17" s="40">
        <f>'2003'!C19</f>
        <v>0</v>
      </c>
      <c r="F17" s="40">
        <f>'2004'!C19</f>
        <v>0</v>
      </c>
      <c r="G17" s="40">
        <f>'2005'!C19</f>
        <v>0</v>
      </c>
      <c r="H17" s="89">
        <f>'2006'!C19</f>
        <v>0</v>
      </c>
      <c r="I17" s="89">
        <f>'2007'!C19</f>
        <v>0</v>
      </c>
      <c r="J17" s="89">
        <f>'2008'!C19</f>
        <v>0</v>
      </c>
      <c r="K17" s="89">
        <f>'2009'!$C19</f>
        <v>0</v>
      </c>
      <c r="L17" s="89">
        <f>'2010'!$C19</f>
        <v>0</v>
      </c>
      <c r="M17" s="89">
        <f>'2011'!$C19</f>
        <v>0</v>
      </c>
      <c r="N17" s="89">
        <f>'2012'!$C19</f>
        <v>0</v>
      </c>
      <c r="O17" s="89">
        <f>'2013'!$C19</f>
        <v>0</v>
      </c>
      <c r="P17" s="89">
        <f>'2014'!$C19</f>
        <v>0</v>
      </c>
      <c r="Q17" s="89">
        <f>'2015'!$C19</f>
        <v>0</v>
      </c>
      <c r="R17" s="89">
        <f>'2016'!$C19</f>
        <v>0</v>
      </c>
      <c r="S17" s="89">
        <f>'2017'!$C19</f>
        <v>0</v>
      </c>
      <c r="T17" s="89">
        <f>'2018'!$C19</f>
        <v>0</v>
      </c>
      <c r="U17" s="89">
        <f>'2019'!$C19</f>
        <v>0</v>
      </c>
      <c r="V17" s="89">
        <f>'2020'!$C19</f>
        <v>0</v>
      </c>
      <c r="W17" s="23"/>
    </row>
    <row r="18" spans="1:23" ht="12.75">
      <c r="A18" s="4"/>
      <c r="B18" s="1" t="s">
        <v>27</v>
      </c>
      <c r="C18" s="40">
        <f>'2001'!C20</f>
        <v>0</v>
      </c>
      <c r="D18" s="38">
        <f>'2002'!C20</f>
        <v>0</v>
      </c>
      <c r="E18" s="40">
        <f>'2003'!C20</f>
        <v>0</v>
      </c>
      <c r="F18" s="40">
        <f>'2004'!C20</f>
        <v>0</v>
      </c>
      <c r="G18" s="40">
        <f>'2005'!C20</f>
        <v>0</v>
      </c>
      <c r="H18" s="89">
        <f>'2006'!C20</f>
        <v>0</v>
      </c>
      <c r="I18" s="89">
        <f>'2007'!C20</f>
        <v>0</v>
      </c>
      <c r="J18" s="89">
        <f>'2008'!C20</f>
        <v>0</v>
      </c>
      <c r="K18" s="89">
        <f>'2009'!$C20</f>
        <v>0</v>
      </c>
      <c r="L18" s="89">
        <f>'2010'!$C20</f>
        <v>0</v>
      </c>
      <c r="M18" s="89">
        <f>'2011'!$C20</f>
        <v>0</v>
      </c>
      <c r="N18" s="89">
        <f>'2012'!$C20</f>
        <v>0</v>
      </c>
      <c r="O18" s="89">
        <f>'2013'!$C20</f>
        <v>0</v>
      </c>
      <c r="P18" s="89">
        <f>'2014'!$C20</f>
        <v>0</v>
      </c>
      <c r="Q18" s="89">
        <f>'2015'!$C20</f>
        <v>0</v>
      </c>
      <c r="R18" s="89">
        <f>'2016'!$C20</f>
        <v>0</v>
      </c>
      <c r="S18" s="89">
        <f>'2017'!$C20</f>
        <v>0</v>
      </c>
      <c r="T18" s="89">
        <f>'2018'!$C20</f>
        <v>0</v>
      </c>
      <c r="U18" s="89">
        <f>'2019'!$C20</f>
        <v>0</v>
      </c>
      <c r="V18" s="89">
        <f>'2020'!$C20</f>
        <v>0</v>
      </c>
      <c r="W18" s="23"/>
    </row>
    <row r="19" spans="1:23" ht="12.75">
      <c r="A19" s="10"/>
      <c r="B19" s="1" t="s">
        <v>37</v>
      </c>
      <c r="C19" s="40">
        <f>'2001'!C21</f>
        <v>0</v>
      </c>
      <c r="D19" s="38">
        <f>'2002'!C21</f>
        <v>0</v>
      </c>
      <c r="E19" s="40">
        <f>'2003'!C21</f>
        <v>652.9168330006653</v>
      </c>
      <c r="F19" s="40">
        <f>'2004'!C21</f>
        <v>652.9168330006653</v>
      </c>
      <c r="G19" s="40">
        <f>'2005'!C21</f>
        <v>680.7826713795214</v>
      </c>
      <c r="H19" s="89">
        <f>'2006'!C21</f>
        <v>1132.4105640306664</v>
      </c>
      <c r="I19" s="89">
        <f>'2007'!C21</f>
        <v>1190.1925768404678</v>
      </c>
      <c r="J19" s="89">
        <f>'2008'!C21</f>
        <v>1248.489155736566</v>
      </c>
      <c r="K19" s="89">
        <f>'2009'!$C21</f>
        <v>1675.4070833235096</v>
      </c>
      <c r="L19" s="89">
        <f>'2010'!$C21</f>
        <v>1766.6341371876763</v>
      </c>
      <c r="M19" s="89">
        <f>'2011'!$C21</f>
        <v>1793.9965688803031</v>
      </c>
      <c r="N19" s="89">
        <f>'2012'!$C21</f>
        <v>2407.8827310072693</v>
      </c>
      <c r="O19" s="89">
        <f>'2013'!$C21</f>
        <v>2407.8827310072693</v>
      </c>
      <c r="P19" s="89">
        <f>'2014'!$C21</f>
        <v>2407.8827310072693</v>
      </c>
      <c r="Q19" s="89">
        <f>'2015'!$C21</f>
        <v>3210.5103080096924</v>
      </c>
      <c r="R19" s="89">
        <f>'2016'!$C21</f>
        <v>3210.5103080096924</v>
      </c>
      <c r="S19" s="89">
        <f>'2017'!$C21</f>
        <v>3210.5103080096924</v>
      </c>
      <c r="T19" s="89">
        <f>'2018'!$C21</f>
        <v>4013.1378850121155</v>
      </c>
      <c r="U19" s="89">
        <f>'2019'!$C21</f>
        <v>4013.1378850121155</v>
      </c>
      <c r="V19" s="89">
        <f>'2020'!$C21</f>
        <v>4013.1378850121155</v>
      </c>
      <c r="W19" s="23"/>
    </row>
    <row r="20" spans="1:22" ht="12.75">
      <c r="A20" s="14" t="s">
        <v>22</v>
      </c>
      <c r="B20" s="7" t="s">
        <v>41</v>
      </c>
      <c r="C20" s="31">
        <f>'2001'!C22</f>
        <v>0</v>
      </c>
      <c r="D20" s="34">
        <f>'2002'!C22</f>
        <v>0</v>
      </c>
      <c r="E20" s="31">
        <f>'2003'!C22</f>
        <v>229.40897435897438</v>
      </c>
      <c r="F20" s="31">
        <f>'2004'!C22</f>
        <v>229.40897435897438</v>
      </c>
      <c r="G20" s="31">
        <f>'2005'!C22</f>
        <v>223.08826041595887</v>
      </c>
      <c r="H20" s="31">
        <f>'2006'!C22</f>
        <v>240.1159334708921</v>
      </c>
      <c r="I20" s="31">
        <f>'2007'!C22</f>
        <v>258.9494006225529</v>
      </c>
      <c r="J20" s="31">
        <f>'2008'!C22</f>
        <v>276.36162595219673</v>
      </c>
      <c r="K20" s="31">
        <f>'2009'!$C22</f>
        <v>394.39192720617837</v>
      </c>
      <c r="L20" s="31">
        <f>'2010'!$C22</f>
        <v>436.7681875153996</v>
      </c>
      <c r="M20" s="31">
        <f>'2011'!$C22</f>
        <v>469.0938112633508</v>
      </c>
      <c r="N20" s="31">
        <f>'2012'!$C22</f>
        <v>661.1478953966118</v>
      </c>
      <c r="O20" s="31">
        <f>'2013'!$C22</f>
        <v>661.1478953966118</v>
      </c>
      <c r="P20" s="31">
        <f>'2014'!$C22</f>
        <v>661.1478953966118</v>
      </c>
      <c r="Q20" s="31">
        <f>'2015'!$C22</f>
        <v>881.5305271954825</v>
      </c>
      <c r="R20" s="31">
        <f>'2016'!$C22</f>
        <v>881.5305271954825</v>
      </c>
      <c r="S20" s="31">
        <f>'2017'!$C22</f>
        <v>881.5305271954825</v>
      </c>
      <c r="T20" s="31">
        <f>'2018'!$C22</f>
        <v>1101.9131589943531</v>
      </c>
      <c r="U20" s="31">
        <f>'2019'!$C22</f>
        <v>1101.9131589943531</v>
      </c>
      <c r="V20" s="31">
        <f>'2020'!$C22</f>
        <v>1101.9131589943531</v>
      </c>
    </row>
    <row r="21" spans="1:22" ht="12.75">
      <c r="A21" s="14"/>
      <c r="B21" s="7" t="s">
        <v>42</v>
      </c>
      <c r="C21" s="31">
        <f>'2001'!C23</f>
        <v>0</v>
      </c>
      <c r="D21" s="34">
        <f>'2002'!C23</f>
        <v>0</v>
      </c>
      <c r="E21" s="31">
        <f>'2003'!C23</f>
        <v>0</v>
      </c>
      <c r="F21" s="31">
        <f>'2004'!C23</f>
        <v>0</v>
      </c>
      <c r="G21" s="31">
        <f>'2005'!C23</f>
        <v>0</v>
      </c>
      <c r="H21" s="31">
        <f>'2006'!C23</f>
        <v>0</v>
      </c>
      <c r="I21" s="31">
        <f>'2007'!C23</f>
        <v>0</v>
      </c>
      <c r="J21" s="31">
        <f>'2008'!C23</f>
        <v>0</v>
      </c>
      <c r="K21" s="31">
        <f>'2009'!$C23</f>
        <v>0</v>
      </c>
      <c r="L21" s="31">
        <f>'2010'!$C23</f>
        <v>0</v>
      </c>
      <c r="M21" s="31">
        <f>'2011'!$C23</f>
        <v>0</v>
      </c>
      <c r="N21" s="31">
        <f>'2012'!$C23</f>
        <v>0</v>
      </c>
      <c r="O21" s="31">
        <f>'2013'!$C23</f>
        <v>0</v>
      </c>
      <c r="P21" s="31">
        <f>'2014'!$C23</f>
        <v>0</v>
      </c>
      <c r="Q21" s="31">
        <f>'2015'!$C23</f>
        <v>0</v>
      </c>
      <c r="R21" s="31">
        <f>'2016'!$C23</f>
        <v>0</v>
      </c>
      <c r="S21" s="31">
        <f>'2017'!$C23</f>
        <v>0</v>
      </c>
      <c r="T21" s="31">
        <f>'2018'!$C23</f>
        <v>0</v>
      </c>
      <c r="U21" s="31">
        <f>'2019'!$C23</f>
        <v>0</v>
      </c>
      <c r="V21" s="31">
        <f>'2020'!$C23</f>
        <v>0</v>
      </c>
    </row>
    <row r="22" spans="1:22" ht="12.75">
      <c r="A22" s="14"/>
      <c r="B22" s="7" t="s">
        <v>27</v>
      </c>
      <c r="C22" s="31">
        <f>'2001'!C24</f>
        <v>0</v>
      </c>
      <c r="D22" s="34">
        <f>'2002'!C24</f>
        <v>0</v>
      </c>
      <c r="E22" s="31">
        <f>'2003'!C24</f>
        <v>0</v>
      </c>
      <c r="F22" s="31">
        <f>'2004'!C24</f>
        <v>0</v>
      </c>
      <c r="G22" s="31">
        <f>'2005'!C24</f>
        <v>0</v>
      </c>
      <c r="H22" s="31">
        <f>'2006'!C24</f>
        <v>0</v>
      </c>
      <c r="I22" s="31">
        <f>'2007'!C24</f>
        <v>0</v>
      </c>
      <c r="J22" s="31">
        <f>'2008'!C24</f>
        <v>0</v>
      </c>
      <c r="K22" s="31">
        <f>'2009'!$C24</f>
        <v>0</v>
      </c>
      <c r="L22" s="31">
        <f>'2010'!$C24</f>
        <v>0</v>
      </c>
      <c r="M22" s="31">
        <f>'2011'!$C24</f>
        <v>0</v>
      </c>
      <c r="N22" s="31">
        <f>'2012'!$C24</f>
        <v>0</v>
      </c>
      <c r="O22" s="31">
        <f>'2013'!$C24</f>
        <v>0</v>
      </c>
      <c r="P22" s="31">
        <f>'2014'!$C24</f>
        <v>0</v>
      </c>
      <c r="Q22" s="31">
        <f>'2015'!$C24</f>
        <v>0</v>
      </c>
      <c r="R22" s="31">
        <f>'2016'!$C24</f>
        <v>0</v>
      </c>
      <c r="S22" s="31">
        <f>'2017'!$C24</f>
        <v>0</v>
      </c>
      <c r="T22" s="31">
        <f>'2018'!$C24</f>
        <v>0</v>
      </c>
      <c r="U22" s="31">
        <f>'2019'!$C24</f>
        <v>0</v>
      </c>
      <c r="V22" s="31">
        <f>'2020'!$C24</f>
        <v>0</v>
      </c>
    </row>
    <row r="23" spans="1:22" ht="12.75">
      <c r="A23" s="14"/>
      <c r="B23" s="7" t="s">
        <v>37</v>
      </c>
      <c r="C23" s="31">
        <f>'2001'!C25</f>
        <v>0</v>
      </c>
      <c r="D23" s="34">
        <f>'2002'!C25</f>
        <v>0</v>
      </c>
      <c r="E23" s="31">
        <f>'2003'!C25</f>
        <v>229.40897435897438</v>
      </c>
      <c r="F23" s="31">
        <f>'2004'!C25</f>
        <v>229.40897435897438</v>
      </c>
      <c r="G23" s="31">
        <f>'2005'!C25</f>
        <v>223.08826041595887</v>
      </c>
      <c r="H23" s="31">
        <f>'2006'!C25</f>
        <v>240.1159334708921</v>
      </c>
      <c r="I23" s="31">
        <f>'2007'!C25</f>
        <v>258.9494006225529</v>
      </c>
      <c r="J23" s="31">
        <f>'2008'!C25</f>
        <v>276.36162595219673</v>
      </c>
      <c r="K23" s="31">
        <f>'2009'!$C25</f>
        <v>394.39192720617837</v>
      </c>
      <c r="L23" s="31">
        <f>'2010'!$C25</f>
        <v>436.7681875153996</v>
      </c>
      <c r="M23" s="31">
        <f>'2011'!$C25</f>
        <v>469.0938112633508</v>
      </c>
      <c r="N23" s="31">
        <f>'2012'!$C25</f>
        <v>661.1478953966118</v>
      </c>
      <c r="O23" s="31">
        <f>'2013'!$C25</f>
        <v>661.1478953966118</v>
      </c>
      <c r="P23" s="31">
        <f>'2014'!$C25</f>
        <v>661.1478953966118</v>
      </c>
      <c r="Q23" s="31">
        <f>'2015'!$C25</f>
        <v>881.5305271954825</v>
      </c>
      <c r="R23" s="31">
        <f>'2016'!$C25</f>
        <v>881.5305271954825</v>
      </c>
      <c r="S23" s="31">
        <f>'2017'!$C25</f>
        <v>881.5305271954825</v>
      </c>
      <c r="T23" s="31">
        <f>'2018'!$C25</f>
        <v>1101.9131589943531</v>
      </c>
      <c r="U23" s="31">
        <f>'2019'!$C25</f>
        <v>1101.9131589943531</v>
      </c>
      <c r="V23" s="31">
        <f>'2020'!$C25</f>
        <v>1101.9131589943531</v>
      </c>
    </row>
    <row r="24" spans="1:22" ht="12.75">
      <c r="A24" s="9" t="s">
        <v>23</v>
      </c>
      <c r="B24" s="1" t="s">
        <v>41</v>
      </c>
      <c r="C24" s="40">
        <f>'2001'!C26</f>
        <v>0</v>
      </c>
      <c r="D24" s="38">
        <f>'2002'!C26</f>
        <v>0</v>
      </c>
      <c r="E24" s="40">
        <f>'2003'!C26</f>
        <v>677.0618966496307</v>
      </c>
      <c r="F24" s="40">
        <f>'2004'!C26</f>
        <v>677.0618966496307</v>
      </c>
      <c r="G24" s="40">
        <f>'2005'!C26</f>
        <v>669.0935900350788</v>
      </c>
      <c r="H24" s="89">
        <f>'2006'!C26</f>
        <v>923.7911562553141</v>
      </c>
      <c r="I24" s="89">
        <f>'2007'!C26</f>
        <v>989.2631403100887</v>
      </c>
      <c r="J24" s="89">
        <f>'2008'!C26</f>
        <v>1057.7170142240932</v>
      </c>
      <c r="K24" s="89">
        <f>'2009'!$C26</f>
        <v>1494.2641304656904</v>
      </c>
      <c r="L24" s="89">
        <f>'2010'!$C26</f>
        <v>1645.7713328238171</v>
      </c>
      <c r="M24" s="89">
        <f>'2011'!$C26</f>
        <v>1743.378362539265</v>
      </c>
      <c r="N24" s="89">
        <f>'2012'!$C26</f>
        <v>2456.410381583855</v>
      </c>
      <c r="O24" s="89">
        <f>'2013'!$C26</f>
        <v>2456.410381583855</v>
      </c>
      <c r="P24" s="89">
        <f>'2014'!$C26</f>
        <v>2456.410381583855</v>
      </c>
      <c r="Q24" s="89">
        <f>'2015'!$C26</f>
        <v>3275.2138421118066</v>
      </c>
      <c r="R24" s="89">
        <f>'2016'!$C26</f>
        <v>3275.2138421118066</v>
      </c>
      <c r="S24" s="89">
        <f>'2017'!$C26</f>
        <v>3275.2138421118066</v>
      </c>
      <c r="T24" s="89">
        <f>'2018'!$C26</f>
        <v>4094.017302639758</v>
      </c>
      <c r="U24" s="89">
        <f>'2019'!$C26</f>
        <v>4094.017302639758</v>
      </c>
      <c r="V24" s="89">
        <f>'2020'!$C26</f>
        <v>4094.017302639758</v>
      </c>
    </row>
    <row r="25" spans="1:22" ht="12.75">
      <c r="A25" s="10"/>
      <c r="B25" s="1" t="s">
        <v>42</v>
      </c>
      <c r="C25" s="40">
        <f>'2001'!C27</f>
        <v>0</v>
      </c>
      <c r="D25" s="38">
        <f>'2002'!C27</f>
        <v>0</v>
      </c>
      <c r="E25" s="40">
        <f>'2003'!C27</f>
        <v>0</v>
      </c>
      <c r="F25" s="40">
        <f>'2004'!C27</f>
        <v>0</v>
      </c>
      <c r="G25" s="40">
        <f>'2005'!C27</f>
        <v>0</v>
      </c>
      <c r="H25" s="89">
        <f>'2006'!C27</f>
        <v>0</v>
      </c>
      <c r="I25" s="89">
        <f>'2007'!C27</f>
        <v>0</v>
      </c>
      <c r="J25" s="89">
        <f>'2008'!C27</f>
        <v>0</v>
      </c>
      <c r="K25" s="89">
        <f>'2009'!$C27</f>
        <v>0</v>
      </c>
      <c r="L25" s="89">
        <f>'2010'!$C27</f>
        <v>0</v>
      </c>
      <c r="M25" s="89">
        <f>'2011'!$C27</f>
        <v>0</v>
      </c>
      <c r="N25" s="89">
        <f>'2012'!$C27</f>
        <v>0</v>
      </c>
      <c r="O25" s="89">
        <f>'2013'!$C27</f>
        <v>0</v>
      </c>
      <c r="P25" s="89">
        <f>'2014'!$C27</f>
        <v>0</v>
      </c>
      <c r="Q25" s="89">
        <f>'2015'!$C27</f>
        <v>0</v>
      </c>
      <c r="R25" s="89">
        <f>'2016'!$C27</f>
        <v>0</v>
      </c>
      <c r="S25" s="89">
        <f>'2017'!$C27</f>
        <v>0</v>
      </c>
      <c r="T25" s="89">
        <f>'2018'!$C27</f>
        <v>0</v>
      </c>
      <c r="U25" s="89">
        <f>'2019'!$C27</f>
        <v>0</v>
      </c>
      <c r="V25" s="89">
        <f>'2020'!$C27</f>
        <v>0</v>
      </c>
    </row>
    <row r="26" spans="1:22" ht="12.75">
      <c r="A26" s="4"/>
      <c r="B26" s="1" t="s">
        <v>27</v>
      </c>
      <c r="C26" s="40">
        <f>'2001'!C28</f>
        <v>0</v>
      </c>
      <c r="D26" s="38">
        <f>'2002'!C28</f>
        <v>0</v>
      </c>
      <c r="E26" s="40">
        <f>'2003'!C28</f>
        <v>0</v>
      </c>
      <c r="F26" s="40">
        <f>'2004'!C28</f>
        <v>0</v>
      </c>
      <c r="G26" s="40">
        <f>'2005'!C28</f>
        <v>0</v>
      </c>
      <c r="H26" s="89">
        <f>'2006'!C28</f>
        <v>0</v>
      </c>
      <c r="I26" s="89">
        <f>'2007'!C28</f>
        <v>0</v>
      </c>
      <c r="J26" s="89">
        <f>'2008'!C28</f>
        <v>0</v>
      </c>
      <c r="K26" s="89">
        <f>'2009'!$C28</f>
        <v>0</v>
      </c>
      <c r="L26" s="89">
        <f>'2010'!$C28</f>
        <v>0</v>
      </c>
      <c r="M26" s="89">
        <f>'2011'!$C28</f>
        <v>0</v>
      </c>
      <c r="N26" s="89">
        <f>'2012'!$C28</f>
        <v>0</v>
      </c>
      <c r="O26" s="89">
        <f>'2013'!$C28</f>
        <v>0</v>
      </c>
      <c r="P26" s="89">
        <f>'2014'!$C28</f>
        <v>0</v>
      </c>
      <c r="Q26" s="89">
        <f>'2015'!$C28</f>
        <v>0</v>
      </c>
      <c r="R26" s="89">
        <f>'2016'!$C28</f>
        <v>0</v>
      </c>
      <c r="S26" s="89">
        <f>'2017'!$C28</f>
        <v>0</v>
      </c>
      <c r="T26" s="89">
        <f>'2018'!$C28</f>
        <v>0</v>
      </c>
      <c r="U26" s="89">
        <f>'2019'!$C28</f>
        <v>0</v>
      </c>
      <c r="V26" s="89">
        <f>'2020'!$C28</f>
        <v>0</v>
      </c>
    </row>
    <row r="27" spans="1:22" ht="12.75">
      <c r="A27" s="4"/>
      <c r="B27" s="1" t="s">
        <v>37</v>
      </c>
      <c r="C27" s="40">
        <f>'2001'!C29</f>
        <v>0</v>
      </c>
      <c r="D27" s="38">
        <f>'2002'!C29</f>
        <v>0</v>
      </c>
      <c r="E27" s="40">
        <f>'2003'!C29</f>
        <v>677.0618966496307</v>
      </c>
      <c r="F27" s="40">
        <f>'2004'!C29</f>
        <v>677.0618966496307</v>
      </c>
      <c r="G27" s="40">
        <f>'2005'!C29</f>
        <v>669.0935900350788</v>
      </c>
      <c r="H27" s="89">
        <f>'2006'!C29</f>
        <v>923.7911562553141</v>
      </c>
      <c r="I27" s="89">
        <f>'2007'!C29</f>
        <v>989.2631403100887</v>
      </c>
      <c r="J27" s="89">
        <f>'2008'!C29</f>
        <v>1057.7170142240932</v>
      </c>
      <c r="K27" s="89">
        <f>'2009'!$C29</f>
        <v>1494.2641304656904</v>
      </c>
      <c r="L27" s="89">
        <f>'2010'!$C29</f>
        <v>1645.7713328238171</v>
      </c>
      <c r="M27" s="89">
        <f>'2011'!$C29</f>
        <v>1743.378362539265</v>
      </c>
      <c r="N27" s="89">
        <f>'2012'!$C29</f>
        <v>2456.410381583855</v>
      </c>
      <c r="O27" s="89">
        <f>'2013'!$C29</f>
        <v>2456.410381583855</v>
      </c>
      <c r="P27" s="89">
        <f>'2014'!$C29</f>
        <v>2456.410381583855</v>
      </c>
      <c r="Q27" s="89">
        <f>'2015'!$C29</f>
        <v>3275.2138421118066</v>
      </c>
      <c r="R27" s="89">
        <f>'2016'!$C29</f>
        <v>3275.2138421118066</v>
      </c>
      <c r="S27" s="89">
        <f>'2017'!$C29</f>
        <v>3275.2138421118066</v>
      </c>
      <c r="T27" s="89">
        <f>'2018'!$C29</f>
        <v>4094.017302639758</v>
      </c>
      <c r="U27" s="89">
        <f>'2019'!$C29</f>
        <v>4094.017302639758</v>
      </c>
      <c r="V27" s="89">
        <f>'2020'!$C29</f>
        <v>4094.017302639758</v>
      </c>
    </row>
    <row r="28" spans="1:22" ht="12.75">
      <c r="A28" s="4"/>
      <c r="B28" s="1"/>
      <c r="C28" s="40"/>
      <c r="D28" s="38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</row>
    <row r="29" spans="1:22" ht="12.75">
      <c r="A29" s="7" t="s">
        <v>131</v>
      </c>
      <c r="B29" s="7"/>
      <c r="C29" s="31">
        <f>+C27+C23+C19+C15+C11+C7</f>
        <v>0</v>
      </c>
      <c r="D29" s="31">
        <f aca="true" t="shared" si="0" ref="D29:V29">+D27+D23+D19+D15+D11+D7</f>
        <v>0</v>
      </c>
      <c r="E29" s="31">
        <f t="shared" si="0"/>
        <v>4420.237470824074</v>
      </c>
      <c r="F29" s="31">
        <f t="shared" si="0"/>
        <v>4420.237470824074</v>
      </c>
      <c r="G29" s="31">
        <f t="shared" si="0"/>
        <v>4418.0083850226365</v>
      </c>
      <c r="H29" s="31">
        <f t="shared" si="0"/>
        <v>6570.033682114932</v>
      </c>
      <c r="I29" s="31">
        <f t="shared" si="0"/>
        <v>7360.103697183642</v>
      </c>
      <c r="J29" s="31">
        <f t="shared" si="0"/>
        <v>8066.789080779857</v>
      </c>
      <c r="K29" s="31">
        <f t="shared" si="0"/>
        <v>11507.76215283782</v>
      </c>
      <c r="L29" s="31">
        <f t="shared" si="0"/>
        <v>12759.372373909384</v>
      </c>
      <c r="M29" s="31">
        <f t="shared" si="0"/>
        <v>13796.035705327518</v>
      </c>
      <c r="N29" s="31">
        <f t="shared" si="0"/>
        <v>19066.356161614203</v>
      </c>
      <c r="O29" s="31">
        <f t="shared" si="0"/>
        <v>19066.356161614203</v>
      </c>
      <c r="P29" s="31">
        <f t="shared" si="0"/>
        <v>19066.356161614203</v>
      </c>
      <c r="Q29" s="31">
        <f t="shared" si="0"/>
        <v>25421.808215485602</v>
      </c>
      <c r="R29" s="31">
        <f t="shared" si="0"/>
        <v>25421.808215485602</v>
      </c>
      <c r="S29" s="31">
        <f t="shared" si="0"/>
        <v>25421.808215485602</v>
      </c>
      <c r="T29" s="31">
        <f t="shared" si="0"/>
        <v>31777.260269357</v>
      </c>
      <c r="U29" s="31">
        <f t="shared" si="0"/>
        <v>31777.260269357</v>
      </c>
      <c r="V29" s="31">
        <f t="shared" si="0"/>
        <v>31777.260269357</v>
      </c>
    </row>
    <row r="30" spans="1:22" ht="12.75">
      <c r="A30" s="1" t="s">
        <v>129</v>
      </c>
      <c r="B30" s="1"/>
      <c r="C30" s="1"/>
      <c r="D30" s="1"/>
      <c r="E30" s="1">
        <v>4650</v>
      </c>
      <c r="F30" s="1">
        <v>4650</v>
      </c>
      <c r="G30" s="1">
        <v>4650</v>
      </c>
      <c r="H30" s="1">
        <v>5800</v>
      </c>
      <c r="I30" s="1">
        <f>+I31*I35</f>
        <v>6786</v>
      </c>
      <c r="J30" s="1">
        <f>+J31*J35</f>
        <v>7772.000000000001</v>
      </c>
      <c r="K30" s="32">
        <f>+K31*K35</f>
        <v>10947.5</v>
      </c>
      <c r="L30" s="32">
        <f>+L31*L35</f>
        <v>12180</v>
      </c>
      <c r="M30" s="32">
        <f>+M31*M35</f>
        <v>13412.5</v>
      </c>
      <c r="N30" s="1">
        <f>+N31*2</f>
        <v>17400</v>
      </c>
      <c r="O30" s="1">
        <f aca="true" t="shared" si="1" ref="O30:V30">+O31*2</f>
        <v>17400</v>
      </c>
      <c r="P30" s="1">
        <f t="shared" si="1"/>
        <v>17400</v>
      </c>
      <c r="Q30" s="1">
        <f t="shared" si="1"/>
        <v>23200</v>
      </c>
      <c r="R30" s="1">
        <f t="shared" si="1"/>
        <v>23200</v>
      </c>
      <c r="S30" s="1">
        <f t="shared" si="1"/>
        <v>23200</v>
      </c>
      <c r="T30" s="1">
        <f t="shared" si="1"/>
        <v>29000</v>
      </c>
      <c r="U30" s="1">
        <f t="shared" si="1"/>
        <v>29000</v>
      </c>
      <c r="V30" s="1">
        <f t="shared" si="1"/>
        <v>29000</v>
      </c>
    </row>
    <row r="31" spans="1:22" ht="12.75">
      <c r="A31" s="1" t="s">
        <v>127</v>
      </c>
      <c r="B31" s="1"/>
      <c r="C31" s="1"/>
      <c r="D31" s="1"/>
      <c r="E31" s="1">
        <v>4650</v>
      </c>
      <c r="F31" s="1">
        <v>4650</v>
      </c>
      <c r="G31" s="1">
        <v>4650</v>
      </c>
      <c r="H31" s="1">
        <v>5800</v>
      </c>
      <c r="I31" s="1">
        <v>5800</v>
      </c>
      <c r="J31" s="1">
        <v>5800</v>
      </c>
      <c r="K31" s="1">
        <v>7250</v>
      </c>
      <c r="L31" s="1">
        <v>7250</v>
      </c>
      <c r="M31" s="1">
        <v>7250</v>
      </c>
      <c r="N31" s="1">
        <v>8700</v>
      </c>
      <c r="O31" s="1">
        <v>8700</v>
      </c>
      <c r="P31" s="1">
        <v>8700</v>
      </c>
      <c r="Q31" s="1">
        <v>11600</v>
      </c>
      <c r="R31" s="1">
        <v>11600</v>
      </c>
      <c r="S31" s="1">
        <v>11600</v>
      </c>
      <c r="T31" s="1">
        <v>14500</v>
      </c>
      <c r="U31" s="1">
        <v>14500</v>
      </c>
      <c r="V31" s="1">
        <v>14500</v>
      </c>
    </row>
    <row r="32" spans="1:22" ht="12.75">
      <c r="A32" s="1" t="s">
        <v>128</v>
      </c>
      <c r="B32" s="1"/>
      <c r="C32" s="1"/>
      <c r="D32" s="1"/>
      <c r="E32" s="1">
        <v>22000</v>
      </c>
      <c r="F32" s="1">
        <v>22000</v>
      </c>
      <c r="G32" s="1">
        <v>22000</v>
      </c>
      <c r="H32" s="1">
        <v>31000</v>
      </c>
      <c r="I32" s="1">
        <v>31000</v>
      </c>
      <c r="J32" s="1">
        <v>38600</v>
      </c>
      <c r="K32" s="1">
        <v>38600</v>
      </c>
      <c r="L32" s="1">
        <v>38600</v>
      </c>
      <c r="M32" s="1">
        <v>38600</v>
      </c>
      <c r="N32" s="1">
        <v>38600</v>
      </c>
      <c r="O32" s="1">
        <v>38600</v>
      </c>
      <c r="P32" s="1">
        <v>38600</v>
      </c>
      <c r="Q32" s="1">
        <v>38600</v>
      </c>
      <c r="R32" s="1">
        <v>38600</v>
      </c>
      <c r="S32" s="1">
        <v>38600</v>
      </c>
      <c r="T32" s="1">
        <v>38600</v>
      </c>
      <c r="U32" s="1">
        <v>38600</v>
      </c>
      <c r="V32" s="1">
        <v>38600</v>
      </c>
    </row>
    <row r="33" spans="1:22" ht="12.75">
      <c r="A33" s="1" t="s">
        <v>106</v>
      </c>
      <c r="B33" s="1"/>
      <c r="C33" s="1"/>
      <c r="D33" s="1"/>
      <c r="E33" s="32">
        <f>'2003'!C33</f>
        <v>1467.8362666666667</v>
      </c>
      <c r="F33" s="32">
        <f>'2004'!C33</f>
        <v>1467.8362666666667</v>
      </c>
      <c r="G33" s="32">
        <f>'2005'!C33</f>
        <v>1623.9510962838012</v>
      </c>
      <c r="H33" s="32">
        <f>'2006'!C33</f>
        <v>2815.2878750614855</v>
      </c>
      <c r="I33" s="32">
        <f>'2007'!C33</f>
        <v>3558.616857253817</v>
      </c>
      <c r="J33" s="32">
        <f>'2008'!$C33</f>
        <v>4628.720266251766</v>
      </c>
      <c r="K33" s="32">
        <f>'2009'!$C33</f>
        <v>7036.676530717605</v>
      </c>
      <c r="L33" s="32">
        <f>'2010'!$C33</f>
        <v>8484.392938775512</v>
      </c>
      <c r="M33" s="32">
        <f>'2011'!$C33</f>
        <v>10669.656294642857</v>
      </c>
      <c r="N33" s="32">
        <f>'2012'!$C33</f>
        <v>18679.062857142857</v>
      </c>
      <c r="O33" s="32">
        <f>'2013'!$C33</f>
        <v>18679.062857142857</v>
      </c>
      <c r="P33" s="32">
        <f>'2014'!$C33</f>
        <v>18679.062857142857</v>
      </c>
      <c r="Q33" s="32">
        <f>'2015'!$C33</f>
        <v>24905.417142857146</v>
      </c>
      <c r="R33" s="32">
        <f>'2016'!$C33</f>
        <v>24905.417142857146</v>
      </c>
      <c r="S33" s="32">
        <f>'2017'!$C33</f>
        <v>24905.417142857146</v>
      </c>
      <c r="T33" s="32">
        <f>'2018'!$C33</f>
        <v>31131.771428571432</v>
      </c>
      <c r="U33" s="32">
        <f>'2019'!$C33</f>
        <v>31131.771428571432</v>
      </c>
      <c r="V33" s="32">
        <f>'2020'!$C33</f>
        <v>31131.771428571432</v>
      </c>
    </row>
    <row r="35" spans="7:13" ht="12.75">
      <c r="G35" t="s">
        <v>130</v>
      </c>
      <c r="I35">
        <v>1.17</v>
      </c>
      <c r="J35">
        <v>1.34</v>
      </c>
      <c r="K35">
        <v>1.51</v>
      </c>
      <c r="L35">
        <v>1.68</v>
      </c>
      <c r="M35">
        <v>1.85</v>
      </c>
    </row>
  </sheetData>
  <printOptions/>
  <pageMargins left="0.75" right="0.75" top="1" bottom="1" header="0.5" footer="0.5"/>
  <pageSetup fitToHeight="1" fitToWidth="1" horizontalDpi="600" verticalDpi="600" orientation="landscape" scale="6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61">
    <pageSetUpPr fitToPage="1"/>
  </sheetPr>
  <dimension ref="A1:B3"/>
  <sheetViews>
    <sheetView zoomScale="75" zoomScaleNormal="75" workbookViewId="0" topLeftCell="A1">
      <pane xSplit="1" ySplit="1" topLeftCell="B2" activePane="bottomRight" state="frozen"/>
      <selection pane="topLeft" activeCell="R38" sqref="R38"/>
      <selection pane="topRight" activeCell="R38" sqref="R38"/>
      <selection pane="bottomLeft" activeCell="R38" sqref="R38"/>
      <selection pane="bottomRight" activeCell="E21" sqref="E21"/>
    </sheetView>
  </sheetViews>
  <sheetFormatPr defaultColWidth="9.140625" defaultRowHeight="12.75"/>
  <cols>
    <col min="1" max="16384" width="9.140625" style="2" customWidth="1"/>
  </cols>
  <sheetData>
    <row r="1" ht="12.75">
      <c r="A1" s="2" t="s">
        <v>184</v>
      </c>
    </row>
    <row r="3" spans="1:2" ht="12.75">
      <c r="A3" s="2" t="s">
        <v>185</v>
      </c>
      <c r="B3" s="2" t="s">
        <v>186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33"/>
  <sheetViews>
    <sheetView zoomScale="75" zoomScaleNormal="75" workbookViewId="0" topLeftCell="A1">
      <selection activeCell="R38" sqref="R38"/>
    </sheetView>
  </sheetViews>
  <sheetFormatPr defaultColWidth="9.140625" defaultRowHeight="12.75"/>
  <cols>
    <col min="1" max="1" width="13.421875" style="0" customWidth="1"/>
    <col min="2" max="2" width="17.421875" style="0" customWidth="1"/>
    <col min="6" max="6" width="10.7109375" style="0" customWidth="1"/>
    <col min="7" max="7" width="11.28125" style="0" customWidth="1"/>
  </cols>
  <sheetData>
    <row r="1" ht="12.75">
      <c r="A1" t="s">
        <v>31</v>
      </c>
    </row>
    <row r="2" ht="12.75">
      <c r="D2" s="2"/>
    </row>
    <row r="3" spans="1:8" ht="12.75">
      <c r="A3" s="9" t="s">
        <v>17</v>
      </c>
      <c r="B3" s="19" t="s">
        <v>11</v>
      </c>
      <c r="C3" s="19" t="s">
        <v>55</v>
      </c>
      <c r="D3" s="135" t="s">
        <v>12</v>
      </c>
      <c r="E3" s="140"/>
      <c r="F3" s="136"/>
      <c r="G3" s="19" t="s">
        <v>35</v>
      </c>
      <c r="H3" s="9" t="s">
        <v>29</v>
      </c>
    </row>
    <row r="4" spans="1:8" ht="12.75">
      <c r="A4" s="4"/>
      <c r="B4" s="4"/>
      <c r="C4" s="4" t="s">
        <v>30</v>
      </c>
      <c r="D4" s="18" t="s">
        <v>28</v>
      </c>
      <c r="E4" s="17" t="s">
        <v>54</v>
      </c>
      <c r="F4" s="6" t="s">
        <v>48</v>
      </c>
      <c r="G4" s="4" t="s">
        <v>56</v>
      </c>
      <c r="H4" s="4" t="s">
        <v>36</v>
      </c>
    </row>
    <row r="5" spans="1:8" ht="12.75">
      <c r="A5" s="10"/>
      <c r="B5" s="4"/>
      <c r="C5" s="4"/>
      <c r="D5" s="18"/>
      <c r="E5" s="17" t="s">
        <v>40</v>
      </c>
      <c r="F5" s="6" t="s">
        <v>40</v>
      </c>
      <c r="G5" s="4"/>
      <c r="H5" s="1"/>
    </row>
    <row r="6" spans="1:8" ht="12.75">
      <c r="A6" s="12" t="s">
        <v>18</v>
      </c>
      <c r="B6" s="15" t="s">
        <v>24</v>
      </c>
      <c r="C6" s="30">
        <v>0</v>
      </c>
      <c r="D6" s="27">
        <f>'Credit Values'!G5</f>
        <v>2.68</v>
      </c>
      <c r="E6" s="27">
        <f>'Credit Values'!$B$30</f>
        <v>4</v>
      </c>
      <c r="F6" s="75" t="s">
        <v>107</v>
      </c>
      <c r="G6" s="51">
        <f>+D6*E6</f>
        <v>10.72</v>
      </c>
      <c r="H6" s="31">
        <f>+C6*G6</f>
        <v>0</v>
      </c>
    </row>
    <row r="7" spans="1:8" ht="12.75">
      <c r="A7" s="14" t="s">
        <v>38</v>
      </c>
      <c r="B7" s="7" t="s">
        <v>42</v>
      </c>
      <c r="C7" s="31">
        <v>0</v>
      </c>
      <c r="D7" s="27">
        <f>'Credit Values'!G18</f>
        <v>1</v>
      </c>
      <c r="E7" s="27">
        <f>'Credit Values'!$B$31</f>
        <v>4</v>
      </c>
      <c r="F7" s="75" t="s">
        <v>107</v>
      </c>
      <c r="G7" s="51">
        <f aca="true" t="shared" si="0" ref="G7:G28">+D7*E7</f>
        <v>4</v>
      </c>
      <c r="H7" s="31">
        <f>+C7*G7</f>
        <v>0</v>
      </c>
    </row>
    <row r="8" spans="1:8" ht="12.75">
      <c r="A8" s="15"/>
      <c r="B8" s="7" t="s">
        <v>27</v>
      </c>
      <c r="C8" s="31">
        <v>0</v>
      </c>
      <c r="D8" s="27">
        <f>'Credit Values'!G6</f>
        <v>1</v>
      </c>
      <c r="E8" s="27">
        <f>'Credit Values'!$B$30</f>
        <v>4</v>
      </c>
      <c r="F8" s="75" t="s">
        <v>107</v>
      </c>
      <c r="G8" s="51">
        <f t="shared" si="0"/>
        <v>4</v>
      </c>
      <c r="H8" s="31">
        <f>+C8*G8</f>
        <v>0</v>
      </c>
    </row>
    <row r="9" spans="1:8" ht="12.75">
      <c r="A9" s="14"/>
      <c r="B9" s="16" t="s">
        <v>37</v>
      </c>
      <c r="C9" s="31">
        <f>+SUM(C6:C8)</f>
        <v>0</v>
      </c>
      <c r="D9" s="27"/>
      <c r="E9" s="27" t="s">
        <v>40</v>
      </c>
      <c r="F9" s="76"/>
      <c r="G9" s="51" t="s">
        <v>40</v>
      </c>
      <c r="H9" s="31">
        <f>+SUM(H6:H8)</f>
        <v>0</v>
      </c>
    </row>
    <row r="10" spans="1:8" ht="12.75">
      <c r="A10" s="9" t="s">
        <v>19</v>
      </c>
      <c r="B10" s="11" t="s">
        <v>34</v>
      </c>
      <c r="C10" s="37">
        <v>0</v>
      </c>
      <c r="D10" s="28">
        <f>'Credit Values'!G7</f>
        <v>2.28</v>
      </c>
      <c r="E10" s="47">
        <f>'Credit Values'!$B$30</f>
        <v>4</v>
      </c>
      <c r="F10" s="77" t="s">
        <v>107</v>
      </c>
      <c r="G10" s="82">
        <f t="shared" si="0"/>
        <v>9.12</v>
      </c>
      <c r="H10" s="40">
        <f>+C10*G10</f>
        <v>0</v>
      </c>
    </row>
    <row r="11" spans="1:8" ht="12.75">
      <c r="A11" s="10" t="s">
        <v>38</v>
      </c>
      <c r="B11" s="11" t="s">
        <v>42</v>
      </c>
      <c r="C11" s="40">
        <v>0</v>
      </c>
      <c r="D11" s="47">
        <f>'Credit Values'!G18</f>
        <v>1</v>
      </c>
      <c r="E11" s="47">
        <f>'Credit Values'!$B$31</f>
        <v>4</v>
      </c>
      <c r="F11" s="77" t="s">
        <v>107</v>
      </c>
      <c r="G11" s="82">
        <f t="shared" si="0"/>
        <v>4</v>
      </c>
      <c r="H11" s="40">
        <f>+C11*G11</f>
        <v>0</v>
      </c>
    </row>
    <row r="12" spans="1:8" ht="12.75">
      <c r="A12" s="21" t="s">
        <v>40</v>
      </c>
      <c r="B12" s="11" t="s">
        <v>57</v>
      </c>
      <c r="C12" s="40">
        <v>0</v>
      </c>
      <c r="D12" s="28">
        <f>'Credit Values'!G8</f>
        <v>1</v>
      </c>
      <c r="E12" s="47">
        <f>'Credit Values'!$B$30</f>
        <v>4</v>
      </c>
      <c r="F12" s="77" t="s">
        <v>107</v>
      </c>
      <c r="G12" s="82">
        <f t="shared" si="0"/>
        <v>4</v>
      </c>
      <c r="H12" s="40">
        <f>+C12*G12</f>
        <v>0</v>
      </c>
    </row>
    <row r="13" spans="1:8" ht="12.75">
      <c r="A13" s="4"/>
      <c r="B13" s="11" t="s">
        <v>37</v>
      </c>
      <c r="C13" s="40">
        <f>+SUM(C10:C12)</f>
        <v>0</v>
      </c>
      <c r="D13" s="28"/>
      <c r="E13" s="47" t="s">
        <v>40</v>
      </c>
      <c r="F13" s="78"/>
      <c r="G13" s="82" t="s">
        <v>40</v>
      </c>
      <c r="H13" s="40">
        <f>+SUM(H10:H12)</f>
        <v>0</v>
      </c>
    </row>
    <row r="14" spans="1:8" ht="12.75">
      <c r="A14" s="12" t="s">
        <v>20</v>
      </c>
      <c r="B14" s="7" t="s">
        <v>25</v>
      </c>
      <c r="C14" s="30">
        <v>0</v>
      </c>
      <c r="D14" s="27">
        <f>'Credit Values'!G9</f>
        <v>3.444</v>
      </c>
      <c r="E14" s="27">
        <f>'Credit Values'!$B$30</f>
        <v>4</v>
      </c>
      <c r="F14" s="75" t="s">
        <v>107</v>
      </c>
      <c r="G14" s="51">
        <f t="shared" si="0"/>
        <v>13.776</v>
      </c>
      <c r="H14" s="31">
        <f>+C14*G14</f>
        <v>0</v>
      </c>
    </row>
    <row r="15" spans="1:9" ht="12.75">
      <c r="A15" s="14" t="s">
        <v>38</v>
      </c>
      <c r="B15" s="15" t="s">
        <v>42</v>
      </c>
      <c r="C15" s="31">
        <v>0</v>
      </c>
      <c r="D15" s="27">
        <f>'Credit Values'!G18</f>
        <v>1</v>
      </c>
      <c r="E15" s="27">
        <f>'Credit Values'!$B$31</f>
        <v>4</v>
      </c>
      <c r="F15" s="75" t="s">
        <v>107</v>
      </c>
      <c r="G15" s="51">
        <f t="shared" si="0"/>
        <v>4</v>
      </c>
      <c r="H15" s="31">
        <f>+C15*G15</f>
        <v>0</v>
      </c>
      <c r="I15" s="23"/>
    </row>
    <row r="16" spans="1:8" ht="12.75">
      <c r="A16" s="20" t="s">
        <v>40</v>
      </c>
      <c r="B16" s="7" t="s">
        <v>27</v>
      </c>
      <c r="C16" s="31">
        <v>0</v>
      </c>
      <c r="D16" s="27">
        <f>'Credit Values'!G10</f>
        <v>1</v>
      </c>
      <c r="E16" s="27">
        <f>'Credit Values'!$B$30</f>
        <v>4</v>
      </c>
      <c r="F16" s="75" t="s">
        <v>107</v>
      </c>
      <c r="G16" s="51">
        <f t="shared" si="0"/>
        <v>4</v>
      </c>
      <c r="H16" s="31">
        <f>+C16*G16</f>
        <v>0</v>
      </c>
    </row>
    <row r="17" spans="1:8" ht="12.75">
      <c r="A17" s="13"/>
      <c r="B17" s="7" t="s">
        <v>37</v>
      </c>
      <c r="C17" s="31">
        <f>+SUM(C14:C16)</f>
        <v>0</v>
      </c>
      <c r="D17" s="27"/>
      <c r="E17" s="27" t="s">
        <v>40</v>
      </c>
      <c r="F17" s="76" t="s">
        <v>40</v>
      </c>
      <c r="G17" s="51" t="s">
        <v>40</v>
      </c>
      <c r="H17" s="31">
        <f>+SUM(H14:H16)</f>
        <v>0</v>
      </c>
    </row>
    <row r="18" spans="1:8" ht="12.75">
      <c r="A18" s="9" t="s">
        <v>21</v>
      </c>
      <c r="B18" s="11" t="s">
        <v>26</v>
      </c>
      <c r="C18" s="37">
        <v>0</v>
      </c>
      <c r="D18" s="28">
        <f>'Credit Values'!G11</f>
        <v>4.008</v>
      </c>
      <c r="E18" s="47">
        <f>'Credit Values'!$B$30</f>
        <v>4</v>
      </c>
      <c r="F18" s="77" t="s">
        <v>107</v>
      </c>
      <c r="G18" s="82">
        <f t="shared" si="0"/>
        <v>16.032</v>
      </c>
      <c r="H18" s="40">
        <f>+C18*G18</f>
        <v>0</v>
      </c>
    </row>
    <row r="19" spans="1:8" ht="12.75">
      <c r="A19" s="10" t="s">
        <v>38</v>
      </c>
      <c r="B19" s="11" t="s">
        <v>42</v>
      </c>
      <c r="C19" s="40">
        <v>0</v>
      </c>
      <c r="D19" s="28">
        <f>'Credit Values'!G18</f>
        <v>1</v>
      </c>
      <c r="E19" s="47">
        <f>'Credit Values'!$B$31</f>
        <v>4</v>
      </c>
      <c r="F19" s="77" t="s">
        <v>107</v>
      </c>
      <c r="G19" s="82">
        <f t="shared" si="0"/>
        <v>4</v>
      </c>
      <c r="H19" s="40">
        <f>+C19*G19</f>
        <v>0</v>
      </c>
    </row>
    <row r="20" spans="1:8" ht="12.75">
      <c r="A20" s="21" t="s">
        <v>40</v>
      </c>
      <c r="B20" s="11" t="s">
        <v>58</v>
      </c>
      <c r="C20" s="40">
        <v>0</v>
      </c>
      <c r="D20" s="28">
        <f>'Credit Values'!G12</f>
        <v>2.2</v>
      </c>
      <c r="E20" s="47">
        <f>'Credit Values'!$B$30</f>
        <v>4</v>
      </c>
      <c r="F20" s="77" t="s">
        <v>107</v>
      </c>
      <c r="G20" s="82">
        <f t="shared" si="0"/>
        <v>8.8</v>
      </c>
      <c r="H20" s="40">
        <f>+C20*G20</f>
        <v>0</v>
      </c>
    </row>
    <row r="21" spans="1:8" ht="12.75">
      <c r="A21" s="10"/>
      <c r="B21" s="11" t="s">
        <v>37</v>
      </c>
      <c r="C21" s="40">
        <f>+SUM(C18:C20)</f>
        <v>0</v>
      </c>
      <c r="D21" s="28"/>
      <c r="E21" s="47" t="s">
        <v>40</v>
      </c>
      <c r="F21" s="78"/>
      <c r="G21" s="82" t="s">
        <v>40</v>
      </c>
      <c r="H21" s="40">
        <f>+SUM(H18:H20)</f>
        <v>0</v>
      </c>
    </row>
    <row r="22" spans="1:8" ht="12.75">
      <c r="A22" s="12" t="s">
        <v>22</v>
      </c>
      <c r="B22" s="16" t="s">
        <v>6</v>
      </c>
      <c r="C22" s="30">
        <v>0</v>
      </c>
      <c r="D22" s="27">
        <f>'Credit Values'!G13</f>
        <v>4.16</v>
      </c>
      <c r="E22" s="27">
        <f>'Credit Values'!$B$30</f>
        <v>4</v>
      </c>
      <c r="F22" s="75" t="s">
        <v>107</v>
      </c>
      <c r="G22" s="51">
        <f t="shared" si="0"/>
        <v>16.64</v>
      </c>
      <c r="H22" s="31">
        <f>+C22*G22</f>
        <v>0</v>
      </c>
    </row>
    <row r="23" spans="1:8" ht="12.75">
      <c r="A23" s="14" t="s">
        <v>38</v>
      </c>
      <c r="B23" s="16" t="s">
        <v>42</v>
      </c>
      <c r="C23" s="31">
        <v>0</v>
      </c>
      <c r="D23" s="27">
        <f>'Credit Values'!G18</f>
        <v>1</v>
      </c>
      <c r="E23" s="27">
        <f>'Credit Values'!$B$31</f>
        <v>4</v>
      </c>
      <c r="F23" s="75" t="s">
        <v>107</v>
      </c>
      <c r="G23" s="51">
        <f t="shared" si="0"/>
        <v>4</v>
      </c>
      <c r="H23" s="31">
        <f>+C23*G23</f>
        <v>0</v>
      </c>
    </row>
    <row r="24" spans="1:8" ht="12.75">
      <c r="A24" s="20" t="s">
        <v>40</v>
      </c>
      <c r="B24" s="7" t="s">
        <v>59</v>
      </c>
      <c r="C24" s="31">
        <v>0</v>
      </c>
      <c r="D24" s="27">
        <f>'Credit Values'!G14</f>
        <v>1.4</v>
      </c>
      <c r="E24" s="27">
        <f>'Credit Values'!$B$30</f>
        <v>4</v>
      </c>
      <c r="F24" s="75" t="s">
        <v>107</v>
      </c>
      <c r="G24" s="51">
        <f t="shared" si="0"/>
        <v>5.6</v>
      </c>
      <c r="H24" s="31">
        <f>+C24*G24</f>
        <v>0</v>
      </c>
    </row>
    <row r="25" spans="1:8" ht="12.75">
      <c r="A25" s="14"/>
      <c r="B25" s="15" t="s">
        <v>37</v>
      </c>
      <c r="C25" s="31">
        <f>+SUM(C22:C24)</f>
        <v>0</v>
      </c>
      <c r="D25" s="27"/>
      <c r="E25" s="27" t="s">
        <v>40</v>
      </c>
      <c r="F25" s="76"/>
      <c r="G25" s="51" t="s">
        <v>40</v>
      </c>
      <c r="H25" s="31">
        <f>+SUM(H22:H24)</f>
        <v>0</v>
      </c>
    </row>
    <row r="26" spans="1:8" ht="12.75">
      <c r="A26" s="9" t="s">
        <v>23</v>
      </c>
      <c r="B26" s="11" t="s">
        <v>7</v>
      </c>
      <c r="C26" s="37">
        <v>0</v>
      </c>
      <c r="D26" s="28">
        <f>'Credit Values'!G15</f>
        <v>4.696000000000001</v>
      </c>
      <c r="E26" s="47">
        <f>'Credit Values'!$B$30</f>
        <v>4</v>
      </c>
      <c r="F26" s="79" t="s">
        <v>107</v>
      </c>
      <c r="G26" s="82">
        <f t="shared" si="0"/>
        <v>18.784000000000002</v>
      </c>
      <c r="H26" s="40">
        <f>+C26*G26</f>
        <v>0</v>
      </c>
    </row>
    <row r="27" spans="1:8" ht="12.75">
      <c r="A27" s="10" t="s">
        <v>38</v>
      </c>
      <c r="B27" s="2" t="s">
        <v>42</v>
      </c>
      <c r="C27" s="40">
        <v>0</v>
      </c>
      <c r="D27" s="28">
        <f>'Credit Values'!G18</f>
        <v>1</v>
      </c>
      <c r="E27" s="47">
        <f>'Credit Values'!$B$31</f>
        <v>4</v>
      </c>
      <c r="F27" s="77" t="s">
        <v>107</v>
      </c>
      <c r="G27" s="82">
        <f t="shared" si="0"/>
        <v>4</v>
      </c>
      <c r="H27" s="40">
        <f>+C27*G27</f>
        <v>0</v>
      </c>
    </row>
    <row r="28" spans="1:8" ht="12.75">
      <c r="A28" s="21" t="s">
        <v>40</v>
      </c>
      <c r="B28" s="11" t="s">
        <v>60</v>
      </c>
      <c r="C28" s="40">
        <v>0</v>
      </c>
      <c r="D28" s="28">
        <f>'Credit Values'!G16</f>
        <v>1.4</v>
      </c>
      <c r="E28" s="47">
        <f>'Credit Values'!$B$30</f>
        <v>4</v>
      </c>
      <c r="F28" s="77" t="s">
        <v>107</v>
      </c>
      <c r="G28" s="82">
        <f t="shared" si="0"/>
        <v>5.6</v>
      </c>
      <c r="H28" s="40">
        <f>+C28*G28</f>
        <v>0</v>
      </c>
    </row>
    <row r="29" spans="1:8" ht="12.75">
      <c r="A29" s="4"/>
      <c r="B29" s="1" t="s">
        <v>37</v>
      </c>
      <c r="C29" s="40">
        <f>+SUM(C26:C28)</f>
        <v>0</v>
      </c>
      <c r="D29" s="28"/>
      <c r="E29" s="29" t="s">
        <v>40</v>
      </c>
      <c r="F29" s="78"/>
      <c r="G29" s="82" t="s">
        <v>40</v>
      </c>
      <c r="H29" s="40">
        <f>+SUM(H26:H28)</f>
        <v>0</v>
      </c>
    </row>
    <row r="30" spans="1:8" ht="12.75">
      <c r="A30" s="1"/>
      <c r="B30" s="1"/>
      <c r="C30" s="40"/>
      <c r="D30" s="28"/>
      <c r="E30" s="29"/>
      <c r="F30" s="80"/>
      <c r="G30" s="83" t="s">
        <v>40</v>
      </c>
      <c r="H30" s="40"/>
    </row>
    <row r="31" spans="1:8" ht="12.75">
      <c r="A31" s="24" t="s">
        <v>40</v>
      </c>
      <c r="B31" s="7" t="s">
        <v>35</v>
      </c>
      <c r="C31" s="25">
        <f>+C29+C25+C21+C17+C13+C9</f>
        <v>0</v>
      </c>
      <c r="D31" s="25"/>
      <c r="E31" s="25"/>
      <c r="F31" s="25"/>
      <c r="G31" s="84"/>
      <c r="H31" s="26">
        <f>+H29+H25+H21+H17+H13+H9</f>
        <v>0</v>
      </c>
    </row>
    <row r="32" spans="1:8" ht="12.75">
      <c r="A32" s="1"/>
      <c r="B32" s="1"/>
      <c r="C32" s="1"/>
      <c r="D32" s="1"/>
      <c r="E32" s="1"/>
      <c r="F32" s="1"/>
      <c r="G32" s="28"/>
      <c r="H32" s="1"/>
    </row>
    <row r="33" spans="1:8" ht="12.75">
      <c r="A33" s="7" t="s">
        <v>126</v>
      </c>
      <c r="B33" s="7"/>
      <c r="C33" s="31"/>
      <c r="D33" s="27">
        <f>'Credit Values'!G19</f>
        <v>10</v>
      </c>
      <c r="E33" s="27">
        <f>'Credit Values'!B30</f>
        <v>4</v>
      </c>
      <c r="F33" s="25" t="s">
        <v>107</v>
      </c>
      <c r="G33" s="27">
        <f>+D33*E33</f>
        <v>40</v>
      </c>
      <c r="H33" s="31">
        <f>+C33*G33</f>
        <v>0</v>
      </c>
    </row>
  </sheetData>
  <mergeCells count="1">
    <mergeCell ref="D3:F3"/>
  </mergeCells>
  <printOptions/>
  <pageMargins left="0.9" right="0.75" top="1" bottom="1" header="0.5" footer="0.5"/>
  <pageSetup fitToHeight="1" fitToWidth="1" horizontalDpi="600" verticalDpi="600" orientation="landscape" r:id="rId1"/>
  <headerFooter alignWithMargins="0">
    <oddHeader>&amp;C&amp;"Arial,Bold"&amp;20Includes Intermediate Manufacturers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3"/>
  <sheetViews>
    <sheetView zoomScale="75" zoomScaleNormal="75" workbookViewId="0" topLeftCell="A1">
      <selection activeCell="R38" sqref="R38"/>
    </sheetView>
  </sheetViews>
  <sheetFormatPr defaultColWidth="9.140625" defaultRowHeight="12.75"/>
  <cols>
    <col min="1" max="1" width="13.421875" style="0" customWidth="1"/>
    <col min="2" max="2" width="17.421875" style="0" customWidth="1"/>
    <col min="6" max="6" width="10.7109375" style="0" customWidth="1"/>
    <col min="7" max="7" width="11.28125" style="0" customWidth="1"/>
  </cols>
  <sheetData>
    <row r="1" ht="12.75">
      <c r="A1" t="s">
        <v>32</v>
      </c>
    </row>
    <row r="2" ht="12.75">
      <c r="D2" s="2"/>
    </row>
    <row r="3" spans="1:8" ht="12.75">
      <c r="A3" s="9" t="s">
        <v>17</v>
      </c>
      <c r="B3" s="19" t="s">
        <v>11</v>
      </c>
      <c r="C3" s="19" t="s">
        <v>55</v>
      </c>
      <c r="D3" s="141" t="s">
        <v>12</v>
      </c>
      <c r="E3" s="142"/>
      <c r="F3" s="158"/>
      <c r="G3" s="19" t="s">
        <v>35</v>
      </c>
      <c r="H3" s="9" t="s">
        <v>29</v>
      </c>
    </row>
    <row r="4" spans="1:8" ht="12.75">
      <c r="A4" s="4"/>
      <c r="B4" s="4"/>
      <c r="C4" s="4" t="s">
        <v>30</v>
      </c>
      <c r="D4" s="18" t="s">
        <v>28</v>
      </c>
      <c r="E4" s="17" t="s">
        <v>54</v>
      </c>
      <c r="F4" s="6" t="s">
        <v>48</v>
      </c>
      <c r="G4" s="4" t="s">
        <v>56</v>
      </c>
      <c r="H4" s="4" t="s">
        <v>36</v>
      </c>
    </row>
    <row r="5" spans="1:8" ht="12.75">
      <c r="A5" s="10"/>
      <c r="B5" s="4"/>
      <c r="C5" s="4"/>
      <c r="D5" s="18"/>
      <c r="E5" s="17" t="s">
        <v>40</v>
      </c>
      <c r="F5" s="6" t="s">
        <v>40</v>
      </c>
      <c r="G5" s="4"/>
      <c r="H5" s="1"/>
    </row>
    <row r="6" spans="1:8" ht="12.75">
      <c r="A6" s="12" t="s">
        <v>18</v>
      </c>
      <c r="B6" s="15" t="s">
        <v>24</v>
      </c>
      <c r="C6" s="30">
        <v>0</v>
      </c>
      <c r="D6" s="27">
        <f>'Credit Values'!G5</f>
        <v>2.68</v>
      </c>
      <c r="E6" s="27">
        <f>'Credit Values'!$C$30</f>
        <v>4</v>
      </c>
      <c r="F6" s="75" t="s">
        <v>107</v>
      </c>
      <c r="G6" s="51">
        <f>+D6*E6</f>
        <v>10.72</v>
      </c>
      <c r="H6" s="31">
        <f>+C6*G6</f>
        <v>0</v>
      </c>
    </row>
    <row r="7" spans="1:8" ht="12.75">
      <c r="A7" s="14" t="s">
        <v>38</v>
      </c>
      <c r="B7" s="7" t="s">
        <v>42</v>
      </c>
      <c r="C7" s="31">
        <v>0</v>
      </c>
      <c r="D7" s="27">
        <f>'Credit Values'!G18</f>
        <v>1</v>
      </c>
      <c r="E7" s="27">
        <f>'Credit Values'!$C$31</f>
        <v>4</v>
      </c>
      <c r="F7" s="75" t="s">
        <v>107</v>
      </c>
      <c r="G7" s="51">
        <f aca="true" t="shared" si="0" ref="G7:G28">+D7*E7</f>
        <v>4</v>
      </c>
      <c r="H7" s="31">
        <f>+C7*G7</f>
        <v>0</v>
      </c>
    </row>
    <row r="8" spans="1:8" ht="12.75">
      <c r="A8" s="20" t="s">
        <v>40</v>
      </c>
      <c r="B8" s="7" t="s">
        <v>27</v>
      </c>
      <c r="C8" s="31">
        <v>0</v>
      </c>
      <c r="D8" s="27">
        <f>'Credit Values'!G6</f>
        <v>1</v>
      </c>
      <c r="E8" s="27">
        <f>'Credit Values'!$C$30</f>
        <v>4</v>
      </c>
      <c r="F8" s="75" t="s">
        <v>107</v>
      </c>
      <c r="G8" s="51">
        <f t="shared" si="0"/>
        <v>4</v>
      </c>
      <c r="H8" s="31">
        <f>+C8*G8</f>
        <v>0</v>
      </c>
    </row>
    <row r="9" spans="1:8" ht="12.75">
      <c r="A9" s="14"/>
      <c r="B9" s="16" t="s">
        <v>37</v>
      </c>
      <c r="C9" s="31">
        <f>+SUM(C6:C8)</f>
        <v>0</v>
      </c>
      <c r="D9" s="27"/>
      <c r="E9" s="27" t="s">
        <v>40</v>
      </c>
      <c r="F9" s="76"/>
      <c r="G9" s="51" t="s">
        <v>40</v>
      </c>
      <c r="H9" s="31">
        <f>+SUM(H6:H8)</f>
        <v>0</v>
      </c>
    </row>
    <row r="10" spans="1:8" ht="12.75">
      <c r="A10" s="9" t="s">
        <v>19</v>
      </c>
      <c r="B10" s="11" t="s">
        <v>34</v>
      </c>
      <c r="C10" s="37">
        <v>0</v>
      </c>
      <c r="D10" s="28">
        <f>'Credit Values'!G7</f>
        <v>2.28</v>
      </c>
      <c r="E10" s="47">
        <f>'Credit Values'!$C$30</f>
        <v>4</v>
      </c>
      <c r="F10" s="77" t="s">
        <v>107</v>
      </c>
      <c r="G10" s="82">
        <f t="shared" si="0"/>
        <v>9.12</v>
      </c>
      <c r="H10" s="40">
        <f>+C10*G10</f>
        <v>0</v>
      </c>
    </row>
    <row r="11" spans="1:8" ht="12.75">
      <c r="A11" s="10" t="s">
        <v>38</v>
      </c>
      <c r="B11" s="11" t="s">
        <v>42</v>
      </c>
      <c r="C11" s="40">
        <v>0</v>
      </c>
      <c r="D11" s="47">
        <f>'Credit Values'!G18</f>
        <v>1</v>
      </c>
      <c r="E11" s="47">
        <f>'Credit Values'!$C$31</f>
        <v>4</v>
      </c>
      <c r="F11" s="77" t="s">
        <v>107</v>
      </c>
      <c r="G11" s="82">
        <f t="shared" si="0"/>
        <v>4</v>
      </c>
      <c r="H11" s="40">
        <f>+C11*G11</f>
        <v>0</v>
      </c>
    </row>
    <row r="12" spans="1:8" ht="12.75">
      <c r="A12" s="21" t="s">
        <v>40</v>
      </c>
      <c r="B12" s="11" t="s">
        <v>57</v>
      </c>
      <c r="C12" s="40">
        <v>0</v>
      </c>
      <c r="D12" s="28">
        <f>'Credit Values'!G8</f>
        <v>1</v>
      </c>
      <c r="E12" s="47">
        <f>'Credit Values'!$C$30</f>
        <v>4</v>
      </c>
      <c r="F12" s="77" t="s">
        <v>107</v>
      </c>
      <c r="G12" s="82">
        <f t="shared" si="0"/>
        <v>4</v>
      </c>
      <c r="H12" s="40">
        <f>+C12*G12</f>
        <v>0</v>
      </c>
    </row>
    <row r="13" spans="1:8" ht="12.75">
      <c r="A13" s="4"/>
      <c r="B13" s="11" t="s">
        <v>37</v>
      </c>
      <c r="C13" s="40">
        <f>+SUM(C10:C12)</f>
        <v>0</v>
      </c>
      <c r="D13" s="28"/>
      <c r="E13" s="47" t="s">
        <v>40</v>
      </c>
      <c r="F13" s="78"/>
      <c r="G13" s="82" t="s">
        <v>40</v>
      </c>
      <c r="H13" s="40">
        <f>+SUM(H10:H12)</f>
        <v>0</v>
      </c>
    </row>
    <row r="14" spans="1:8" ht="12.75">
      <c r="A14" s="12" t="s">
        <v>20</v>
      </c>
      <c r="B14" s="7" t="s">
        <v>25</v>
      </c>
      <c r="C14" s="30">
        <v>0</v>
      </c>
      <c r="D14" s="27">
        <f>'Credit Values'!G9</f>
        <v>3.444</v>
      </c>
      <c r="E14" s="27">
        <f>'Credit Values'!$C$30</f>
        <v>4</v>
      </c>
      <c r="F14" s="75" t="s">
        <v>107</v>
      </c>
      <c r="G14" s="51">
        <f t="shared" si="0"/>
        <v>13.776</v>
      </c>
      <c r="H14" s="31">
        <f>+C14*G14</f>
        <v>0</v>
      </c>
    </row>
    <row r="15" spans="1:9" ht="12.75">
      <c r="A15" s="14" t="s">
        <v>38</v>
      </c>
      <c r="B15" s="15" t="s">
        <v>42</v>
      </c>
      <c r="C15" s="31">
        <v>0</v>
      </c>
      <c r="D15" s="27">
        <f>'Credit Values'!G18</f>
        <v>1</v>
      </c>
      <c r="E15" s="27">
        <f>'Credit Values'!$C$31</f>
        <v>4</v>
      </c>
      <c r="F15" s="75" t="s">
        <v>107</v>
      </c>
      <c r="G15" s="51">
        <f t="shared" si="0"/>
        <v>4</v>
      </c>
      <c r="H15" s="31">
        <f>+C15*G15</f>
        <v>0</v>
      </c>
      <c r="I15" s="23"/>
    </row>
    <row r="16" spans="1:8" ht="12.75">
      <c r="A16" s="20" t="s">
        <v>40</v>
      </c>
      <c r="B16" s="7" t="s">
        <v>27</v>
      </c>
      <c r="C16" s="31">
        <v>0</v>
      </c>
      <c r="D16" s="27">
        <f>'Credit Values'!G10</f>
        <v>1</v>
      </c>
      <c r="E16" s="27">
        <f>'Credit Values'!$C$30</f>
        <v>4</v>
      </c>
      <c r="F16" s="75" t="s">
        <v>107</v>
      </c>
      <c r="G16" s="51">
        <f t="shared" si="0"/>
        <v>4</v>
      </c>
      <c r="H16" s="31">
        <f>+C16*G16</f>
        <v>0</v>
      </c>
    </row>
    <row r="17" spans="1:8" ht="12.75">
      <c r="A17" s="13"/>
      <c r="B17" s="7" t="s">
        <v>37</v>
      </c>
      <c r="C17" s="31">
        <f>+SUM(C14:C16)</f>
        <v>0</v>
      </c>
      <c r="D17" s="27"/>
      <c r="E17" s="27" t="s">
        <v>40</v>
      </c>
      <c r="F17" s="76"/>
      <c r="G17" s="51" t="s">
        <v>40</v>
      </c>
      <c r="H17" s="31">
        <f>+SUM(H14:H16)</f>
        <v>0</v>
      </c>
    </row>
    <row r="18" spans="1:8" ht="12.75">
      <c r="A18" s="9" t="s">
        <v>21</v>
      </c>
      <c r="B18" s="11" t="s">
        <v>26</v>
      </c>
      <c r="C18" s="37">
        <v>0</v>
      </c>
      <c r="D18" s="28">
        <f>'Credit Values'!G11</f>
        <v>4.008</v>
      </c>
      <c r="E18" s="47">
        <f>'Credit Values'!$C$30</f>
        <v>4</v>
      </c>
      <c r="F18" s="77" t="s">
        <v>107</v>
      </c>
      <c r="G18" s="82">
        <f t="shared" si="0"/>
        <v>16.032</v>
      </c>
      <c r="H18" s="40">
        <f>+C18*G18</f>
        <v>0</v>
      </c>
    </row>
    <row r="19" spans="1:8" ht="12.75">
      <c r="A19" s="10" t="s">
        <v>38</v>
      </c>
      <c r="B19" s="11" t="s">
        <v>42</v>
      </c>
      <c r="C19" s="40">
        <v>0</v>
      </c>
      <c r="D19" s="28">
        <f>'Credit Values'!G18</f>
        <v>1</v>
      </c>
      <c r="E19" s="47">
        <f>'Credit Values'!$C$31</f>
        <v>4</v>
      </c>
      <c r="F19" s="77" t="s">
        <v>107</v>
      </c>
      <c r="G19" s="82">
        <f t="shared" si="0"/>
        <v>4</v>
      </c>
      <c r="H19" s="40">
        <f>+C19*G19</f>
        <v>0</v>
      </c>
    </row>
    <row r="20" spans="1:8" ht="12.75">
      <c r="A20" s="21" t="s">
        <v>40</v>
      </c>
      <c r="B20" s="11" t="s">
        <v>58</v>
      </c>
      <c r="C20" s="40">
        <v>0</v>
      </c>
      <c r="D20" s="28">
        <f>'Credit Values'!G12</f>
        <v>2.2</v>
      </c>
      <c r="E20" s="47">
        <f>'Credit Values'!$C$30</f>
        <v>4</v>
      </c>
      <c r="F20" s="77" t="s">
        <v>107</v>
      </c>
      <c r="G20" s="82">
        <f t="shared" si="0"/>
        <v>8.8</v>
      </c>
      <c r="H20" s="40">
        <f>+C20*G20</f>
        <v>0</v>
      </c>
    </row>
    <row r="21" spans="1:8" ht="12.75">
      <c r="A21" s="10"/>
      <c r="B21" s="11" t="s">
        <v>37</v>
      </c>
      <c r="C21" s="40">
        <f>+SUM(C18:C20)</f>
        <v>0</v>
      </c>
      <c r="D21" s="28"/>
      <c r="E21" s="47" t="s">
        <v>40</v>
      </c>
      <c r="F21" s="78"/>
      <c r="G21" s="82" t="s">
        <v>40</v>
      </c>
      <c r="H21" s="40">
        <f>+SUM(H18:H20)</f>
        <v>0</v>
      </c>
    </row>
    <row r="22" spans="1:8" ht="12.75">
      <c r="A22" s="12" t="s">
        <v>22</v>
      </c>
      <c r="B22" s="16" t="s">
        <v>6</v>
      </c>
      <c r="C22" s="30">
        <v>0</v>
      </c>
      <c r="D22" s="27">
        <f>'Credit Values'!G13</f>
        <v>4.16</v>
      </c>
      <c r="E22" s="27">
        <f>'Credit Values'!$C$30</f>
        <v>4</v>
      </c>
      <c r="F22" s="75" t="s">
        <v>107</v>
      </c>
      <c r="G22" s="51">
        <f t="shared" si="0"/>
        <v>16.64</v>
      </c>
      <c r="H22" s="31">
        <f>+C22*G22</f>
        <v>0</v>
      </c>
    </row>
    <row r="23" spans="1:8" ht="12.75">
      <c r="A23" s="14" t="s">
        <v>38</v>
      </c>
      <c r="B23" s="16" t="s">
        <v>42</v>
      </c>
      <c r="C23" s="31">
        <v>0</v>
      </c>
      <c r="D23" s="27">
        <f>'Credit Values'!G18</f>
        <v>1</v>
      </c>
      <c r="E23" s="27">
        <f>'Credit Values'!$C$31</f>
        <v>4</v>
      </c>
      <c r="F23" s="75" t="s">
        <v>107</v>
      </c>
      <c r="G23" s="51">
        <f t="shared" si="0"/>
        <v>4</v>
      </c>
      <c r="H23" s="31">
        <f>+C23*G23</f>
        <v>0</v>
      </c>
    </row>
    <row r="24" spans="1:8" ht="12.75">
      <c r="A24" s="20" t="s">
        <v>40</v>
      </c>
      <c r="B24" s="7" t="s">
        <v>59</v>
      </c>
      <c r="C24" s="31">
        <v>0</v>
      </c>
      <c r="D24" s="27">
        <f>'Credit Values'!G14</f>
        <v>1.4</v>
      </c>
      <c r="E24" s="27">
        <f>'Credit Values'!$C$30</f>
        <v>4</v>
      </c>
      <c r="F24" s="75" t="s">
        <v>107</v>
      </c>
      <c r="G24" s="51">
        <f t="shared" si="0"/>
        <v>5.6</v>
      </c>
      <c r="H24" s="31">
        <f>+C24*G24</f>
        <v>0</v>
      </c>
    </row>
    <row r="25" spans="1:8" ht="12.75">
      <c r="A25" s="14"/>
      <c r="B25" s="15" t="s">
        <v>37</v>
      </c>
      <c r="C25" s="31">
        <f>+SUM(C22:C24)</f>
        <v>0</v>
      </c>
      <c r="D25" s="27"/>
      <c r="E25" s="27" t="s">
        <v>40</v>
      </c>
      <c r="F25" s="76"/>
      <c r="G25" s="51" t="s">
        <v>40</v>
      </c>
      <c r="H25" s="31">
        <f>+SUM(H22:H24)</f>
        <v>0</v>
      </c>
    </row>
    <row r="26" spans="1:8" ht="12.75">
      <c r="A26" s="9" t="s">
        <v>23</v>
      </c>
      <c r="B26" s="11" t="s">
        <v>7</v>
      </c>
      <c r="C26" s="37">
        <v>0</v>
      </c>
      <c r="D26" s="28">
        <f>'Credit Values'!G15</f>
        <v>4.696000000000001</v>
      </c>
      <c r="E26" s="47">
        <f>'Credit Values'!$C$30</f>
        <v>4</v>
      </c>
      <c r="F26" s="79" t="s">
        <v>107</v>
      </c>
      <c r="G26" s="82">
        <f t="shared" si="0"/>
        <v>18.784000000000002</v>
      </c>
      <c r="H26" s="40">
        <f>+C26*G26</f>
        <v>0</v>
      </c>
    </row>
    <row r="27" spans="1:8" ht="12.75">
      <c r="A27" s="10" t="s">
        <v>38</v>
      </c>
      <c r="B27" s="2" t="s">
        <v>42</v>
      </c>
      <c r="C27" s="40">
        <v>0</v>
      </c>
      <c r="D27" s="28">
        <f>'Credit Values'!G18</f>
        <v>1</v>
      </c>
      <c r="E27" s="47">
        <f>'Credit Values'!$C$31</f>
        <v>4</v>
      </c>
      <c r="F27" s="77" t="s">
        <v>107</v>
      </c>
      <c r="G27" s="82">
        <f t="shared" si="0"/>
        <v>4</v>
      </c>
      <c r="H27" s="40">
        <f>+C27*G27</f>
        <v>0</v>
      </c>
    </row>
    <row r="28" spans="1:8" ht="12.75">
      <c r="A28" s="21" t="s">
        <v>40</v>
      </c>
      <c r="B28" s="11" t="s">
        <v>60</v>
      </c>
      <c r="C28" s="40">
        <v>0</v>
      </c>
      <c r="D28" s="28">
        <f>'Credit Values'!G16</f>
        <v>1.4</v>
      </c>
      <c r="E28" s="47">
        <f>'Credit Values'!$C$30</f>
        <v>4</v>
      </c>
      <c r="F28" s="77" t="s">
        <v>107</v>
      </c>
      <c r="G28" s="82">
        <f t="shared" si="0"/>
        <v>5.6</v>
      </c>
      <c r="H28" s="40">
        <f>+C28*G28</f>
        <v>0</v>
      </c>
    </row>
    <row r="29" spans="1:8" ht="12.75">
      <c r="A29" s="4"/>
      <c r="B29" s="1" t="s">
        <v>37</v>
      </c>
      <c r="C29" s="40">
        <f>+SUM(C26:C28)</f>
        <v>0</v>
      </c>
      <c r="D29" s="28"/>
      <c r="E29" s="29" t="s">
        <v>40</v>
      </c>
      <c r="F29" s="78"/>
      <c r="G29" s="52"/>
      <c r="H29" s="40">
        <f>+SUM(H26:H28)</f>
        <v>0</v>
      </c>
    </row>
    <row r="30" spans="1:8" ht="12.75">
      <c r="A30" s="1"/>
      <c r="B30" s="1"/>
      <c r="C30" s="1"/>
      <c r="D30" s="28"/>
      <c r="E30" s="1"/>
      <c r="F30" s="1"/>
      <c r="G30" s="28"/>
      <c r="H30" s="32"/>
    </row>
    <row r="31" spans="1:8" ht="12.75">
      <c r="A31" s="24" t="s">
        <v>40</v>
      </c>
      <c r="B31" s="7" t="s">
        <v>35</v>
      </c>
      <c r="C31" s="25">
        <f>+C29+C25+C21+C17+C13+C9</f>
        <v>0</v>
      </c>
      <c r="D31" s="25"/>
      <c r="E31" s="25"/>
      <c r="F31" s="25"/>
      <c r="G31" s="84"/>
      <c r="H31" s="26">
        <f>+H29+H25+H21+H17+H13+H9</f>
        <v>0</v>
      </c>
    </row>
    <row r="32" spans="1:8" ht="12.75">
      <c r="A32" s="1"/>
      <c r="B32" s="1"/>
      <c r="C32" s="1"/>
      <c r="D32" s="1"/>
      <c r="E32" s="1"/>
      <c r="F32" s="1"/>
      <c r="G32" s="28"/>
      <c r="H32" s="1"/>
    </row>
    <row r="33" spans="1:8" ht="12.75">
      <c r="A33" s="7" t="s">
        <v>126</v>
      </c>
      <c r="B33" s="7"/>
      <c r="C33" s="31"/>
      <c r="D33" s="27">
        <f>'Credit Values'!G19</f>
        <v>10</v>
      </c>
      <c r="E33" s="27">
        <f>'Credit Values'!C30</f>
        <v>4</v>
      </c>
      <c r="F33" s="25" t="s">
        <v>107</v>
      </c>
      <c r="G33" s="27">
        <f>+D33*E33</f>
        <v>40</v>
      </c>
      <c r="H33" s="31">
        <f>+C33*G33</f>
        <v>0</v>
      </c>
    </row>
  </sheetData>
  <mergeCells count="1">
    <mergeCell ref="D3:F3"/>
  </mergeCells>
  <printOptions/>
  <pageMargins left="0.85" right="0.75" top="1" bottom="1" header="0.5" footer="0.5"/>
  <pageSetup fitToHeight="1" fitToWidth="1" horizontalDpi="300" verticalDpi="300" orientation="landscape" r:id="rId1"/>
  <headerFooter alignWithMargins="0">
    <oddHeader>&amp;C&amp;"Arial,Bold"&amp;20Includes Intermediate Manufacturers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33"/>
  <sheetViews>
    <sheetView zoomScale="75" zoomScaleNormal="75" workbookViewId="0" topLeftCell="B1">
      <selection activeCell="C31" sqref="C31"/>
    </sheetView>
  </sheetViews>
  <sheetFormatPr defaultColWidth="9.140625" defaultRowHeight="12.75"/>
  <cols>
    <col min="1" max="1" width="13.421875" style="0" customWidth="1"/>
    <col min="2" max="2" width="17.421875" style="0" customWidth="1"/>
    <col min="6" max="6" width="10.7109375" style="0" customWidth="1"/>
    <col min="7" max="7" width="11.28125" style="0" customWidth="1"/>
    <col min="8" max="8" width="10.28125" style="0" customWidth="1"/>
    <col min="14" max="14" width="12.7109375" style="0" customWidth="1"/>
  </cols>
  <sheetData>
    <row r="1" ht="12.75">
      <c r="A1" t="s">
        <v>33</v>
      </c>
    </row>
    <row r="2" ht="12.75">
      <c r="D2" s="2"/>
    </row>
    <row r="3" spans="1:12" ht="12.75">
      <c r="A3" s="9" t="s">
        <v>17</v>
      </c>
      <c r="B3" s="19" t="s">
        <v>11</v>
      </c>
      <c r="C3" s="19" t="s">
        <v>55</v>
      </c>
      <c r="D3" s="135" t="s">
        <v>12</v>
      </c>
      <c r="E3" s="140"/>
      <c r="F3" s="136"/>
      <c r="G3" s="19" t="s">
        <v>35</v>
      </c>
      <c r="H3" s="9" t="s">
        <v>62</v>
      </c>
      <c r="I3" s="135" t="s">
        <v>63</v>
      </c>
      <c r="J3" s="136"/>
      <c r="K3" s="49" t="s">
        <v>61</v>
      </c>
      <c r="L3" s="9" t="s">
        <v>39</v>
      </c>
    </row>
    <row r="4" spans="1:12" ht="12.75">
      <c r="A4" s="4"/>
      <c r="B4" s="4"/>
      <c r="C4" s="4" t="s">
        <v>30</v>
      </c>
      <c r="D4" s="18" t="s">
        <v>28</v>
      </c>
      <c r="E4" s="17" t="s">
        <v>54</v>
      </c>
      <c r="F4" s="6" t="s">
        <v>48</v>
      </c>
      <c r="G4" s="4" t="s">
        <v>56</v>
      </c>
      <c r="H4" s="4" t="s">
        <v>36</v>
      </c>
      <c r="I4" s="4">
        <v>2001</v>
      </c>
      <c r="J4" s="4">
        <v>2002</v>
      </c>
      <c r="K4" s="50" t="s">
        <v>35</v>
      </c>
      <c r="L4" s="4" t="s">
        <v>36</v>
      </c>
    </row>
    <row r="5" spans="1:12" ht="12.75">
      <c r="A5" s="10"/>
      <c r="B5" s="4"/>
      <c r="C5" s="4"/>
      <c r="D5" s="18"/>
      <c r="E5" s="17" t="s">
        <v>40</v>
      </c>
      <c r="F5" s="6" t="s">
        <v>40</v>
      </c>
      <c r="G5" s="4"/>
      <c r="H5" s="6"/>
      <c r="I5" s="1"/>
      <c r="J5" s="1"/>
      <c r="K5" s="1"/>
      <c r="L5" s="10"/>
    </row>
    <row r="6" spans="1:12" ht="12.75">
      <c r="A6" s="12" t="s">
        <v>18</v>
      </c>
      <c r="B6" s="15" t="s">
        <v>24</v>
      </c>
      <c r="C6" s="31">
        <f>+(L9-(I9+J9))/G6</f>
        <v>479.4547263681592</v>
      </c>
      <c r="D6" s="27">
        <f>'Credit Values'!G5</f>
        <v>2.68</v>
      </c>
      <c r="E6" s="27">
        <f>'Credit Values'!$D$30</f>
        <v>1.25</v>
      </c>
      <c r="F6" s="75" t="s">
        <v>107</v>
      </c>
      <c r="G6" s="51">
        <f>+D6*E6</f>
        <v>3.35</v>
      </c>
      <c r="H6" s="34">
        <f>+C6*G6</f>
        <v>1606.1733333333334</v>
      </c>
      <c r="I6" s="31">
        <f>'2001'!H6</f>
        <v>0</v>
      </c>
      <c r="J6" s="31">
        <f>'2002'!H6</f>
        <v>0</v>
      </c>
      <c r="K6" s="31">
        <f>+SUM(H6:J6)</f>
        <v>1606.1733333333334</v>
      </c>
      <c r="L6" s="30"/>
    </row>
    <row r="7" spans="1:12" ht="12.75">
      <c r="A7" s="14" t="s">
        <v>38</v>
      </c>
      <c r="B7" s="7" t="s">
        <v>42</v>
      </c>
      <c r="C7" s="31">
        <v>0</v>
      </c>
      <c r="D7" s="27">
        <f>'Credit Values'!G18</f>
        <v>1</v>
      </c>
      <c r="E7" s="27">
        <f>'Credit Values'!$D$31</f>
        <v>1.25</v>
      </c>
      <c r="F7" s="75" t="s">
        <v>107</v>
      </c>
      <c r="G7" s="51">
        <f aca="true" t="shared" si="0" ref="G7:G28">+D7*E7</f>
        <v>1.25</v>
      </c>
      <c r="H7" s="34">
        <f>+C7*G7</f>
        <v>0</v>
      </c>
      <c r="I7" s="31">
        <f>'2001'!H7</f>
        <v>0</v>
      </c>
      <c r="J7" s="31">
        <f>'2002'!H7</f>
        <v>0</v>
      </c>
      <c r="K7" s="31">
        <f aca="true" t="shared" si="1" ref="K7:K29">+SUM(H7:J7)</f>
        <v>0</v>
      </c>
      <c r="L7" s="42"/>
    </row>
    <row r="8" spans="1:12" ht="12.75">
      <c r="A8" s="86">
        <f>Sales!E42</f>
        <v>80308.66666666667</v>
      </c>
      <c r="B8" s="7" t="s">
        <v>27</v>
      </c>
      <c r="C8" s="31">
        <v>0</v>
      </c>
      <c r="D8" s="27">
        <f>'Credit Values'!G6</f>
        <v>1</v>
      </c>
      <c r="E8" s="27">
        <f>'Credit Values'!$D$30</f>
        <v>1.25</v>
      </c>
      <c r="F8" s="75" t="s">
        <v>107</v>
      </c>
      <c r="G8" s="51">
        <f t="shared" si="0"/>
        <v>1.25</v>
      </c>
      <c r="H8" s="34">
        <f>+C8*G8</f>
        <v>0</v>
      </c>
      <c r="I8" s="31">
        <f>'2001'!H8</f>
        <v>0</v>
      </c>
      <c r="J8" s="31">
        <f>'2002'!H8</f>
        <v>0</v>
      </c>
      <c r="K8" s="31">
        <f t="shared" si="1"/>
        <v>0</v>
      </c>
      <c r="L8" s="42"/>
    </row>
    <row r="9" spans="1:12" ht="12.75">
      <c r="A9" s="14"/>
      <c r="B9" s="16" t="s">
        <v>37</v>
      </c>
      <c r="C9" s="31">
        <f>+SUM(C6:C8)</f>
        <v>479.4547263681592</v>
      </c>
      <c r="D9" s="27"/>
      <c r="E9" s="27" t="s">
        <v>40</v>
      </c>
      <c r="F9" s="76"/>
      <c r="G9" s="51" t="s">
        <v>40</v>
      </c>
      <c r="H9" s="30">
        <f>+SUM(H6:H8)</f>
        <v>1606.1733333333334</v>
      </c>
      <c r="I9" s="31">
        <f>'2001'!H9</f>
        <v>0</v>
      </c>
      <c r="J9" s="31">
        <f>'2002'!H9</f>
        <v>0</v>
      </c>
      <c r="K9" s="31">
        <f t="shared" si="1"/>
        <v>1606.1733333333334</v>
      </c>
      <c r="L9" s="44">
        <f>+A8*0.02</f>
        <v>1606.1733333333334</v>
      </c>
    </row>
    <row r="10" spans="1:12" ht="12.75">
      <c r="A10" s="9" t="s">
        <v>19</v>
      </c>
      <c r="B10" s="11" t="s">
        <v>34</v>
      </c>
      <c r="C10" s="32">
        <f>+(L13-(I13+J13))/G10</f>
        <v>1339.1883040935675</v>
      </c>
      <c r="D10" s="28">
        <f>'Credit Values'!G7</f>
        <v>2.28</v>
      </c>
      <c r="E10" s="47">
        <f>'Credit Values'!$D$30</f>
        <v>1.25</v>
      </c>
      <c r="F10" s="77" t="s">
        <v>107</v>
      </c>
      <c r="G10" s="82">
        <f t="shared" si="0"/>
        <v>2.8499999999999996</v>
      </c>
      <c r="H10" s="36">
        <f>+C10*G10</f>
        <v>3816.686666666667</v>
      </c>
      <c r="I10" s="40">
        <f>'2001'!H10</f>
        <v>0</v>
      </c>
      <c r="J10" s="40">
        <f>'2002'!H10</f>
        <v>0</v>
      </c>
      <c r="K10" s="40">
        <f t="shared" si="1"/>
        <v>3816.686666666667</v>
      </c>
      <c r="L10" s="37"/>
    </row>
    <row r="11" spans="1:12" ht="12.75">
      <c r="A11" s="10" t="s">
        <v>38</v>
      </c>
      <c r="B11" s="11" t="s">
        <v>42</v>
      </c>
      <c r="C11" s="32">
        <v>0</v>
      </c>
      <c r="D11" s="47">
        <f>'Credit Values'!G18</f>
        <v>1</v>
      </c>
      <c r="E11" s="47">
        <f>'Credit Values'!$D$31</f>
        <v>1.25</v>
      </c>
      <c r="F11" s="77" t="s">
        <v>107</v>
      </c>
      <c r="G11" s="82">
        <f t="shared" si="0"/>
        <v>1.25</v>
      </c>
      <c r="H11" s="38">
        <f>+C11*G11</f>
        <v>0</v>
      </c>
      <c r="I11" s="40">
        <f>'2001'!H11</f>
        <v>0</v>
      </c>
      <c r="J11" s="40">
        <f>'2002'!H11</f>
        <v>0</v>
      </c>
      <c r="K11" s="40">
        <f t="shared" si="1"/>
        <v>0</v>
      </c>
      <c r="L11" s="39"/>
    </row>
    <row r="12" spans="1:12" ht="12.75">
      <c r="A12" s="87">
        <f>Sales!E46</f>
        <v>190834.33333333334</v>
      </c>
      <c r="B12" s="11" t="s">
        <v>57</v>
      </c>
      <c r="C12" s="32">
        <v>0</v>
      </c>
      <c r="D12" s="28">
        <f>'Credit Values'!G8</f>
        <v>1</v>
      </c>
      <c r="E12" s="47">
        <f>'Credit Values'!$D$30</f>
        <v>1.25</v>
      </c>
      <c r="F12" s="77" t="s">
        <v>107</v>
      </c>
      <c r="G12" s="82">
        <f t="shared" si="0"/>
        <v>1.25</v>
      </c>
      <c r="H12" s="38">
        <f>+C12*G12</f>
        <v>0</v>
      </c>
      <c r="I12" s="40">
        <f>'2001'!H12</f>
        <v>0</v>
      </c>
      <c r="J12" s="40">
        <f>'2002'!H12</f>
        <v>0</v>
      </c>
      <c r="K12" s="40">
        <f t="shared" si="1"/>
        <v>0</v>
      </c>
      <c r="L12" s="39"/>
    </row>
    <row r="13" spans="1:12" ht="12.75">
      <c r="A13" s="4"/>
      <c r="B13" s="11" t="s">
        <v>37</v>
      </c>
      <c r="C13" s="32">
        <f>+SUM(C10:C12)</f>
        <v>1339.1883040935675</v>
      </c>
      <c r="D13" s="28"/>
      <c r="E13" s="47" t="s">
        <v>40</v>
      </c>
      <c r="F13" s="78"/>
      <c r="G13" s="82" t="s">
        <v>40</v>
      </c>
      <c r="H13" s="40">
        <f>+SUM(H10:H12)</f>
        <v>3816.686666666667</v>
      </c>
      <c r="I13" s="40">
        <f>'2001'!H13</f>
        <v>0</v>
      </c>
      <c r="J13" s="40">
        <f>'2002'!H13</f>
        <v>0</v>
      </c>
      <c r="K13" s="40">
        <f t="shared" si="1"/>
        <v>3816.686666666667</v>
      </c>
      <c r="L13" s="81">
        <f>+A12*0.02</f>
        <v>3816.686666666667</v>
      </c>
    </row>
    <row r="14" spans="1:12" ht="12.75">
      <c r="A14" s="12" t="s">
        <v>20</v>
      </c>
      <c r="B14" s="7" t="s">
        <v>25</v>
      </c>
      <c r="C14" s="31">
        <f>+(L17-(I17+J17))/G14</f>
        <v>1042.2067363530778</v>
      </c>
      <c r="D14" s="27">
        <f>'Credit Values'!G9</f>
        <v>3.444</v>
      </c>
      <c r="E14" s="27">
        <f>'Credit Values'!$D$30</f>
        <v>1.25</v>
      </c>
      <c r="F14" s="75" t="s">
        <v>107</v>
      </c>
      <c r="G14" s="51">
        <f t="shared" si="0"/>
        <v>4.305</v>
      </c>
      <c r="H14" s="34">
        <f>+C14*G14</f>
        <v>4486.7</v>
      </c>
      <c r="I14" s="31">
        <f>'2001'!H14</f>
        <v>0</v>
      </c>
      <c r="J14" s="31">
        <f>'2002'!H14</f>
        <v>0</v>
      </c>
      <c r="K14" s="31">
        <f t="shared" si="1"/>
        <v>4486.7</v>
      </c>
      <c r="L14" s="42"/>
    </row>
    <row r="15" spans="1:13" ht="12.75">
      <c r="A15" s="14" t="s">
        <v>38</v>
      </c>
      <c r="B15" s="15" t="s">
        <v>42</v>
      </c>
      <c r="C15" s="31">
        <v>0</v>
      </c>
      <c r="D15" s="27">
        <f>'Credit Values'!G18</f>
        <v>1</v>
      </c>
      <c r="E15" s="27">
        <f>'Credit Values'!$D$31</f>
        <v>1.25</v>
      </c>
      <c r="F15" s="75" t="s">
        <v>107</v>
      </c>
      <c r="G15" s="51">
        <f t="shared" si="0"/>
        <v>1.25</v>
      </c>
      <c r="H15" s="34">
        <f>+C15*G15</f>
        <v>0</v>
      </c>
      <c r="I15" s="31">
        <f>'2001'!H15</f>
        <v>0</v>
      </c>
      <c r="J15" s="31">
        <f>'2002'!H15</f>
        <v>0</v>
      </c>
      <c r="K15" s="31">
        <f t="shared" si="1"/>
        <v>0</v>
      </c>
      <c r="L15" s="42"/>
      <c r="M15" s="23"/>
    </row>
    <row r="16" spans="1:12" ht="12.75">
      <c r="A16" s="86">
        <f>Sales!E50</f>
        <v>224335</v>
      </c>
      <c r="B16" s="7" t="s">
        <v>27</v>
      </c>
      <c r="C16" s="31">
        <v>0</v>
      </c>
      <c r="D16" s="27">
        <f>'Credit Values'!G10</f>
        <v>1</v>
      </c>
      <c r="E16" s="27">
        <f>'Credit Values'!$D$30</f>
        <v>1.25</v>
      </c>
      <c r="F16" s="75" t="s">
        <v>107</v>
      </c>
      <c r="G16" s="51">
        <f t="shared" si="0"/>
        <v>1.25</v>
      </c>
      <c r="H16" s="34">
        <f>+C16*G16</f>
        <v>0</v>
      </c>
      <c r="I16" s="31">
        <f>'2001'!H16</f>
        <v>0</v>
      </c>
      <c r="J16" s="31">
        <f>'2002'!H16</f>
        <v>0</v>
      </c>
      <c r="K16" s="31">
        <f t="shared" si="1"/>
        <v>0</v>
      </c>
      <c r="L16" s="42"/>
    </row>
    <row r="17" spans="1:12" ht="12.75">
      <c r="A17" s="13"/>
      <c r="B17" s="7" t="s">
        <v>37</v>
      </c>
      <c r="C17" s="31">
        <f>+SUM(C14:C16)</f>
        <v>1042.2067363530778</v>
      </c>
      <c r="D17" s="27"/>
      <c r="E17" s="27">
        <f>'Credit Values'!$D$30</f>
        <v>1.25</v>
      </c>
      <c r="F17" s="76"/>
      <c r="G17" s="51">
        <f t="shared" si="0"/>
        <v>0</v>
      </c>
      <c r="H17" s="30">
        <f>+SUM(H14:H16)</f>
        <v>4486.7</v>
      </c>
      <c r="I17" s="31">
        <f>'2001'!H17</f>
        <v>0</v>
      </c>
      <c r="J17" s="31">
        <f>'2002'!H17</f>
        <v>0</v>
      </c>
      <c r="K17" s="31">
        <f t="shared" si="1"/>
        <v>4486.7</v>
      </c>
      <c r="L17" s="42">
        <f>+A16*0.02</f>
        <v>4486.7</v>
      </c>
    </row>
    <row r="18" spans="1:12" ht="12.75">
      <c r="A18" s="9" t="s">
        <v>21</v>
      </c>
      <c r="B18" s="11" t="s">
        <v>26</v>
      </c>
      <c r="C18" s="32">
        <f>+(L21-(I21+J21))/G18</f>
        <v>652.9168330006653</v>
      </c>
      <c r="D18" s="28">
        <f>'Credit Values'!G11</f>
        <v>4.008</v>
      </c>
      <c r="E18" s="47">
        <f>'Credit Values'!$D$30</f>
        <v>1.25</v>
      </c>
      <c r="F18" s="77" t="s">
        <v>107</v>
      </c>
      <c r="G18" s="82">
        <f t="shared" si="0"/>
        <v>5.01</v>
      </c>
      <c r="H18" s="36">
        <f>+C18*G18</f>
        <v>3271.113333333333</v>
      </c>
      <c r="I18" s="40">
        <f>'2001'!H18</f>
        <v>0</v>
      </c>
      <c r="J18" s="40">
        <f>'2002'!H18</f>
        <v>0</v>
      </c>
      <c r="K18" s="40">
        <f t="shared" si="1"/>
        <v>3271.113333333333</v>
      </c>
      <c r="L18" s="37"/>
    </row>
    <row r="19" spans="1:12" ht="12.75">
      <c r="A19" s="10" t="s">
        <v>38</v>
      </c>
      <c r="B19" s="11" t="s">
        <v>42</v>
      </c>
      <c r="C19" s="32">
        <v>0</v>
      </c>
      <c r="D19" s="28">
        <f>'Credit Values'!G18</f>
        <v>1</v>
      </c>
      <c r="E19" s="47">
        <f>'Credit Values'!$D$31</f>
        <v>1.25</v>
      </c>
      <c r="F19" s="77" t="s">
        <v>107</v>
      </c>
      <c r="G19" s="82">
        <f t="shared" si="0"/>
        <v>1.25</v>
      </c>
      <c r="H19" s="38">
        <f>+C19*G19</f>
        <v>0</v>
      </c>
      <c r="I19" s="40">
        <f>'2001'!H19</f>
        <v>0</v>
      </c>
      <c r="J19" s="40">
        <f>'2002'!H19</f>
        <v>0</v>
      </c>
      <c r="K19" s="40">
        <f t="shared" si="1"/>
        <v>0</v>
      </c>
      <c r="L19" s="39"/>
    </row>
    <row r="20" spans="1:12" ht="12.75">
      <c r="A20" s="87">
        <f>Sales!E54</f>
        <v>163555.66666666666</v>
      </c>
      <c r="B20" s="11" t="s">
        <v>58</v>
      </c>
      <c r="C20" s="32">
        <v>0</v>
      </c>
      <c r="D20" s="28">
        <f>'Credit Values'!G12</f>
        <v>2.2</v>
      </c>
      <c r="E20" s="47">
        <f>'Credit Values'!$D$30</f>
        <v>1.25</v>
      </c>
      <c r="F20" s="77" t="s">
        <v>107</v>
      </c>
      <c r="G20" s="82">
        <f t="shared" si="0"/>
        <v>2.75</v>
      </c>
      <c r="H20" s="38">
        <f>+C20*G20</f>
        <v>0</v>
      </c>
      <c r="I20" s="40">
        <f>'2001'!H20</f>
        <v>0</v>
      </c>
      <c r="J20" s="40">
        <f>'2002'!H20</f>
        <v>0</v>
      </c>
      <c r="K20" s="40">
        <f t="shared" si="1"/>
        <v>0</v>
      </c>
      <c r="L20" s="39"/>
    </row>
    <row r="21" spans="1:12" ht="12.75">
      <c r="A21" s="10"/>
      <c r="B21" s="11" t="s">
        <v>37</v>
      </c>
      <c r="C21" s="32">
        <f>+SUM(C18:C20)</f>
        <v>652.9168330006653</v>
      </c>
      <c r="D21" s="28"/>
      <c r="E21" s="47" t="s">
        <v>40</v>
      </c>
      <c r="F21" s="78"/>
      <c r="G21" s="82" t="s">
        <v>40</v>
      </c>
      <c r="H21" s="40">
        <f>+SUM(H18:H20)</f>
        <v>3271.113333333333</v>
      </c>
      <c r="I21" s="40">
        <f>'2001'!H21</f>
        <v>0</v>
      </c>
      <c r="J21" s="40">
        <f>'2002'!H21</f>
        <v>0</v>
      </c>
      <c r="K21" s="40">
        <f t="shared" si="1"/>
        <v>3271.113333333333</v>
      </c>
      <c r="L21" s="41">
        <f>+A20*0.02</f>
        <v>3271.1133333333332</v>
      </c>
    </row>
    <row r="22" spans="1:12" ht="12.75">
      <c r="A22" s="12" t="s">
        <v>22</v>
      </c>
      <c r="B22" s="16" t="s">
        <v>6</v>
      </c>
      <c r="C22" s="31">
        <f>+(L25-(I25+J25))/G22</f>
        <v>229.40897435897438</v>
      </c>
      <c r="D22" s="27">
        <f>'Credit Values'!G13</f>
        <v>4.16</v>
      </c>
      <c r="E22" s="27">
        <f>'Credit Values'!$D$30</f>
        <v>1.25</v>
      </c>
      <c r="F22" s="75" t="s">
        <v>107</v>
      </c>
      <c r="G22" s="51">
        <f t="shared" si="0"/>
        <v>5.2</v>
      </c>
      <c r="H22" s="34">
        <f>+C22*G22</f>
        <v>1192.9266666666667</v>
      </c>
      <c r="I22" s="31">
        <f>'2001'!H22</f>
        <v>0</v>
      </c>
      <c r="J22" s="31">
        <f>'2002'!H22</f>
        <v>0</v>
      </c>
      <c r="K22" s="31">
        <f t="shared" si="1"/>
        <v>1192.9266666666667</v>
      </c>
      <c r="L22" s="42"/>
    </row>
    <row r="23" spans="1:12" ht="12.75">
      <c r="A23" s="14" t="s">
        <v>38</v>
      </c>
      <c r="B23" s="16" t="s">
        <v>42</v>
      </c>
      <c r="C23" s="31">
        <v>0</v>
      </c>
      <c r="D23" s="27">
        <f>'Credit Values'!G18</f>
        <v>1</v>
      </c>
      <c r="E23" s="27">
        <f>'Credit Values'!$D$31</f>
        <v>1.25</v>
      </c>
      <c r="F23" s="75" t="s">
        <v>107</v>
      </c>
      <c r="G23" s="51">
        <f t="shared" si="0"/>
        <v>1.25</v>
      </c>
      <c r="H23" s="34">
        <f>+C23*G23</f>
        <v>0</v>
      </c>
      <c r="I23" s="31">
        <f>'2001'!H23</f>
        <v>0</v>
      </c>
      <c r="J23" s="31">
        <f>'2002'!H23</f>
        <v>0</v>
      </c>
      <c r="K23" s="31">
        <f t="shared" si="1"/>
        <v>0</v>
      </c>
      <c r="L23" s="42"/>
    </row>
    <row r="24" spans="1:12" ht="12.75">
      <c r="A24" s="86">
        <f>Sales!E58</f>
        <v>59646.333333333336</v>
      </c>
      <c r="B24" s="7" t="s">
        <v>59</v>
      </c>
      <c r="C24" s="30">
        <v>0</v>
      </c>
      <c r="D24" s="27">
        <f>'Credit Values'!G14</f>
        <v>1.4</v>
      </c>
      <c r="E24" s="27">
        <f>'Credit Values'!$D$30</f>
        <v>1.25</v>
      </c>
      <c r="F24" s="75" t="s">
        <v>107</v>
      </c>
      <c r="G24" s="51">
        <f t="shared" si="0"/>
        <v>1.75</v>
      </c>
      <c r="H24" s="34">
        <f>+C24*G24</f>
        <v>0</v>
      </c>
      <c r="I24" s="31">
        <f>'2001'!H24</f>
        <v>0</v>
      </c>
      <c r="J24" s="31">
        <f>'2002'!H24</f>
        <v>0</v>
      </c>
      <c r="K24" s="31">
        <f t="shared" si="1"/>
        <v>0</v>
      </c>
      <c r="L24" s="42"/>
    </row>
    <row r="25" spans="1:12" ht="12.75">
      <c r="A25" s="14"/>
      <c r="B25" s="15" t="s">
        <v>37</v>
      </c>
      <c r="C25" s="30">
        <f>+SUM(C22:C24)</f>
        <v>229.40897435897438</v>
      </c>
      <c r="D25" s="27"/>
      <c r="E25" s="27" t="s">
        <v>40</v>
      </c>
      <c r="F25" s="76"/>
      <c r="G25" s="51" t="s">
        <v>40</v>
      </c>
      <c r="H25" s="30">
        <f>+SUM(H22:H24)</f>
        <v>1192.9266666666667</v>
      </c>
      <c r="I25" s="31">
        <f>'2001'!H25</f>
        <v>0</v>
      </c>
      <c r="J25" s="31">
        <f>'2002'!H25</f>
        <v>0</v>
      </c>
      <c r="K25" s="31">
        <f t="shared" si="1"/>
        <v>1192.9266666666667</v>
      </c>
      <c r="L25" s="42">
        <f>+A24*0.02</f>
        <v>1192.9266666666667</v>
      </c>
    </row>
    <row r="26" spans="1:12" ht="12.75">
      <c r="A26" s="9" t="s">
        <v>23</v>
      </c>
      <c r="B26" s="11" t="s">
        <v>7</v>
      </c>
      <c r="C26" s="32">
        <f>+(L29-(I29+J29))/G26</f>
        <v>677.0618966496307</v>
      </c>
      <c r="D26" s="28">
        <f>'Credit Values'!G15</f>
        <v>4.696000000000001</v>
      </c>
      <c r="E26" s="47">
        <f>'Credit Values'!$D$30</f>
        <v>1.25</v>
      </c>
      <c r="F26" s="79" t="s">
        <v>107</v>
      </c>
      <c r="G26" s="82">
        <f t="shared" si="0"/>
        <v>5.870000000000001</v>
      </c>
      <c r="H26" s="36">
        <f>+C26*G26</f>
        <v>3974.353333333333</v>
      </c>
      <c r="I26" s="40">
        <f>'2001'!H26</f>
        <v>0</v>
      </c>
      <c r="J26" s="40">
        <f>'2002'!H26</f>
        <v>0</v>
      </c>
      <c r="K26" s="40">
        <f t="shared" si="1"/>
        <v>3974.353333333333</v>
      </c>
      <c r="L26" s="37"/>
    </row>
    <row r="27" spans="1:12" ht="12.75">
      <c r="A27" s="10" t="s">
        <v>38</v>
      </c>
      <c r="B27" s="2" t="s">
        <v>42</v>
      </c>
      <c r="C27" s="32">
        <v>0</v>
      </c>
      <c r="D27" s="28">
        <f>'Credit Values'!G18</f>
        <v>1</v>
      </c>
      <c r="E27" s="47">
        <f>'Credit Values'!$D$31</f>
        <v>1.25</v>
      </c>
      <c r="F27" s="77" t="s">
        <v>107</v>
      </c>
      <c r="G27" s="82">
        <f t="shared" si="0"/>
        <v>1.25</v>
      </c>
      <c r="H27" s="38">
        <f>+C27*G27</f>
        <v>0</v>
      </c>
      <c r="I27" s="40">
        <f>'2001'!H27</f>
        <v>0</v>
      </c>
      <c r="J27" s="40">
        <f>'2002'!H27</f>
        <v>0</v>
      </c>
      <c r="K27" s="40">
        <f t="shared" si="1"/>
        <v>0</v>
      </c>
      <c r="L27" s="39"/>
    </row>
    <row r="28" spans="1:12" ht="12.75">
      <c r="A28" s="87">
        <f>Sales!E62</f>
        <v>198717.66666666666</v>
      </c>
      <c r="B28" s="11" t="s">
        <v>60</v>
      </c>
      <c r="C28" s="32">
        <v>0</v>
      </c>
      <c r="D28" s="28">
        <f>'Credit Values'!G16</f>
        <v>1.4</v>
      </c>
      <c r="E28" s="47">
        <f>'Credit Values'!$D$30</f>
        <v>1.25</v>
      </c>
      <c r="F28" s="77" t="s">
        <v>107</v>
      </c>
      <c r="G28" s="82">
        <f t="shared" si="0"/>
        <v>1.75</v>
      </c>
      <c r="H28" s="38">
        <f>+C28*G28</f>
        <v>0</v>
      </c>
      <c r="I28" s="40">
        <f>'2001'!H28</f>
        <v>0</v>
      </c>
      <c r="J28" s="40">
        <f>'2002'!H28</f>
        <v>0</v>
      </c>
      <c r="K28" s="40">
        <f t="shared" si="1"/>
        <v>0</v>
      </c>
      <c r="L28" s="39"/>
    </row>
    <row r="29" spans="1:14" ht="12.75">
      <c r="A29" s="4"/>
      <c r="B29" s="1" t="s">
        <v>37</v>
      </c>
      <c r="C29" s="32">
        <f>+SUM(C26:C28)</f>
        <v>677.0618966496307</v>
      </c>
      <c r="D29" s="28"/>
      <c r="E29" s="29" t="s">
        <v>40</v>
      </c>
      <c r="F29" s="43"/>
      <c r="G29" s="52"/>
      <c r="H29" s="40">
        <f>+SUM(H26:H28)</f>
        <v>3974.353333333333</v>
      </c>
      <c r="I29" s="40">
        <f>'2001'!H29</f>
        <v>0</v>
      </c>
      <c r="J29" s="40">
        <f>'2002'!H29</f>
        <v>0</v>
      </c>
      <c r="K29" s="40">
        <f t="shared" si="1"/>
        <v>3974.353333333333</v>
      </c>
      <c r="L29" s="41">
        <f>+A28*0.02</f>
        <v>3974.353333333333</v>
      </c>
      <c r="M29" s="105" t="s">
        <v>178</v>
      </c>
      <c r="N29" s="105" t="s">
        <v>47</v>
      </c>
    </row>
    <row r="30" spans="1:14" ht="12.75">
      <c r="A30" s="1"/>
      <c r="B30" s="1"/>
      <c r="C30" s="1"/>
      <c r="D30" s="28"/>
      <c r="E30" s="1"/>
      <c r="F30" s="1"/>
      <c r="G30" s="28"/>
      <c r="H30" s="32"/>
      <c r="I30" s="32"/>
      <c r="J30" s="40"/>
      <c r="K30" s="40" t="s">
        <v>40</v>
      </c>
      <c r="L30" s="32"/>
      <c r="M30" s="105" t="s">
        <v>12</v>
      </c>
      <c r="N30" s="105" t="s">
        <v>179</v>
      </c>
    </row>
    <row r="31" spans="1:14" ht="12.75">
      <c r="A31" s="88">
        <f>+A28+A24+A20+A16+A12+A8</f>
        <v>917397.6666666666</v>
      </c>
      <c r="B31" s="7" t="s">
        <v>35</v>
      </c>
      <c r="C31" s="26">
        <f>+C29+C25+C21+C17+C13+C9</f>
        <v>4420.237470824074</v>
      </c>
      <c r="D31" s="25"/>
      <c r="E31" s="25"/>
      <c r="F31" s="25"/>
      <c r="G31" s="84"/>
      <c r="H31" s="26">
        <f>+H29+H25+H21+H17+H13+H9</f>
        <v>18347.953333333335</v>
      </c>
      <c r="I31" s="26">
        <f>+I29+I25+I21+I17+I13+I9</f>
        <v>0</v>
      </c>
      <c r="J31" s="26">
        <f>+J29+J25+J21+J17+J13+J9</f>
        <v>0</v>
      </c>
      <c r="K31" s="26">
        <f>+K29+K25+K21+K17+K13+K9</f>
        <v>18347.953333333335</v>
      </c>
      <c r="L31" s="26">
        <f>+L29+L25+L21+L17+L13+L9</f>
        <v>18347.953333333335</v>
      </c>
      <c r="M31" s="106">
        <f>L31/C31</f>
        <v>4.150897650734744</v>
      </c>
      <c r="N31" s="107">
        <f>'Fleet totals'!F5/M31</f>
        <v>0.004818234917562911</v>
      </c>
    </row>
    <row r="32" spans="1:12" ht="12.75">
      <c r="A32" s="1"/>
      <c r="B32" s="1"/>
      <c r="C32" s="1"/>
      <c r="D32" s="1"/>
      <c r="E32" s="1"/>
      <c r="F32" s="1"/>
      <c r="G32" s="28"/>
      <c r="H32" s="1"/>
      <c r="I32" s="1"/>
      <c r="J32" s="1"/>
      <c r="K32" s="1"/>
      <c r="L32" s="1"/>
    </row>
    <row r="33" spans="1:12" ht="12.75">
      <c r="A33" s="7" t="s">
        <v>126</v>
      </c>
      <c r="B33" s="7"/>
      <c r="C33" s="31">
        <f>+L31/G33</f>
        <v>1467.8362666666667</v>
      </c>
      <c r="D33" s="27">
        <f>'Credit Values'!G19</f>
        <v>10</v>
      </c>
      <c r="E33" s="27">
        <f>'Credit Values'!D30</f>
        <v>1.25</v>
      </c>
      <c r="F33" s="25" t="s">
        <v>107</v>
      </c>
      <c r="G33" s="27">
        <f>+D33*E33</f>
        <v>12.5</v>
      </c>
      <c r="H33" s="31">
        <f>+C33*G33</f>
        <v>18347.953333333335</v>
      </c>
      <c r="I33" s="31">
        <f>'2001'!H33</f>
        <v>0</v>
      </c>
      <c r="J33" s="31">
        <f>'2002'!H33</f>
        <v>0</v>
      </c>
      <c r="K33" s="31">
        <f>+SUM(H33:J33)</f>
        <v>18347.953333333335</v>
      </c>
      <c r="L33" s="31">
        <f>+A31*0.02</f>
        <v>18347.953333333335</v>
      </c>
    </row>
  </sheetData>
  <mergeCells count="2">
    <mergeCell ref="I3:J3"/>
    <mergeCell ref="D3:F3"/>
  </mergeCells>
  <printOptions/>
  <pageMargins left="0.92" right="0.62" top="1" bottom="1" header="0.51" footer="0.5"/>
  <pageSetup fitToHeight="1" fitToWidth="1" horizontalDpi="600" verticalDpi="600" orientation="landscape" scale="82" r:id="rId4"/>
  <headerFooter alignWithMargins="0">
    <oddHeader>&amp;C&amp;"Arial,Bold"&amp;20Includes Intermediate Manufacturers</oddHead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K33"/>
  <sheetViews>
    <sheetView zoomScale="75" zoomScaleNormal="75" workbookViewId="0" topLeftCell="A2">
      <selection activeCell="C31" sqref="C31"/>
    </sheetView>
  </sheetViews>
  <sheetFormatPr defaultColWidth="9.140625" defaultRowHeight="12.75"/>
  <cols>
    <col min="1" max="1" width="13.421875" style="0" customWidth="1"/>
    <col min="2" max="2" width="17.421875" style="0" customWidth="1"/>
    <col min="6" max="6" width="10.7109375" style="0" customWidth="1"/>
    <col min="7" max="7" width="11.28125" style="0" customWidth="1"/>
    <col min="11" max="11" width="12.57421875" style="0" customWidth="1"/>
  </cols>
  <sheetData>
    <row r="1" ht="12.75">
      <c r="A1" t="s">
        <v>65</v>
      </c>
    </row>
    <row r="2" ht="12.75">
      <c r="D2" s="2"/>
    </row>
    <row r="3" spans="1:9" ht="12.75">
      <c r="A3" s="9" t="s">
        <v>17</v>
      </c>
      <c r="B3" s="19" t="s">
        <v>11</v>
      </c>
      <c r="C3" s="19" t="s">
        <v>55</v>
      </c>
      <c r="D3" s="63" t="s">
        <v>12</v>
      </c>
      <c r="E3" s="65"/>
      <c r="F3" s="64"/>
      <c r="G3" s="19" t="s">
        <v>35</v>
      </c>
      <c r="H3" s="9" t="s">
        <v>29</v>
      </c>
      <c r="I3" s="9" t="s">
        <v>39</v>
      </c>
    </row>
    <row r="4" spans="1:9" ht="12.75">
      <c r="A4" s="4"/>
      <c r="B4" s="4"/>
      <c r="C4" s="4" t="s">
        <v>30</v>
      </c>
      <c r="D4" s="18" t="s">
        <v>28</v>
      </c>
      <c r="E4" s="17" t="s">
        <v>54</v>
      </c>
      <c r="F4" s="6" t="s">
        <v>48</v>
      </c>
      <c r="G4" s="4" t="s">
        <v>56</v>
      </c>
      <c r="H4" s="4" t="s">
        <v>36</v>
      </c>
      <c r="I4" s="4" t="s">
        <v>36</v>
      </c>
    </row>
    <row r="5" spans="1:9" ht="12.75">
      <c r="A5" s="10"/>
      <c r="B5" s="4"/>
      <c r="C5" s="4"/>
      <c r="D5" s="18"/>
      <c r="E5" s="17" t="s">
        <v>40</v>
      </c>
      <c r="F5" s="6" t="s">
        <v>40</v>
      </c>
      <c r="G5" s="4"/>
      <c r="H5" s="6"/>
      <c r="I5" s="10"/>
    </row>
    <row r="6" spans="1:9" ht="12.75">
      <c r="A6" s="12" t="s">
        <v>18</v>
      </c>
      <c r="B6" s="15" t="s">
        <v>24</v>
      </c>
      <c r="C6" s="30">
        <f>+I9/G6</f>
        <v>479.4547263681592</v>
      </c>
      <c r="D6" s="27">
        <f>'Credit Values'!G5</f>
        <v>2.68</v>
      </c>
      <c r="E6" s="27">
        <f>'Credit Values'!$E$30</f>
        <v>1.25</v>
      </c>
      <c r="F6" s="75" t="s">
        <v>107</v>
      </c>
      <c r="G6" s="51">
        <f>+D6*E6</f>
        <v>3.35</v>
      </c>
      <c r="H6" s="34">
        <f>+C6*G6</f>
        <v>1606.1733333333334</v>
      </c>
      <c r="I6" s="30"/>
    </row>
    <row r="7" spans="1:9" ht="12.75">
      <c r="A7" s="14" t="s">
        <v>38</v>
      </c>
      <c r="B7" s="7" t="s">
        <v>42</v>
      </c>
      <c r="C7" s="31">
        <v>0</v>
      </c>
      <c r="D7" s="27">
        <f>'Credit Values'!G18</f>
        <v>1</v>
      </c>
      <c r="E7" s="27">
        <f>'Credit Values'!$E$31</f>
        <v>0.625</v>
      </c>
      <c r="F7" s="75" t="s">
        <v>107</v>
      </c>
      <c r="G7" s="51">
        <f aca="true" t="shared" si="0" ref="G7:G28">+D7*E7</f>
        <v>0.625</v>
      </c>
      <c r="H7" s="34">
        <f>+C7*G7</f>
        <v>0</v>
      </c>
      <c r="I7" s="42"/>
    </row>
    <row r="8" spans="1:9" ht="12.75">
      <c r="A8" s="86">
        <f>Sales!F42</f>
        <v>80308.66666666667</v>
      </c>
      <c r="B8" s="7" t="s">
        <v>27</v>
      </c>
      <c r="C8" s="31">
        <v>0</v>
      </c>
      <c r="D8" s="27">
        <f>'Credit Values'!G6</f>
        <v>1</v>
      </c>
      <c r="E8" s="27">
        <f>'Credit Values'!$E$30</f>
        <v>1.25</v>
      </c>
      <c r="F8" s="75" t="s">
        <v>107</v>
      </c>
      <c r="G8" s="51">
        <f t="shared" si="0"/>
        <v>1.25</v>
      </c>
      <c r="H8" s="34">
        <f>+C8*G8</f>
        <v>0</v>
      </c>
      <c r="I8" s="42"/>
    </row>
    <row r="9" spans="1:9" ht="12.75">
      <c r="A9" s="14"/>
      <c r="B9" s="16" t="s">
        <v>37</v>
      </c>
      <c r="C9" s="31">
        <f>+SUM(C6:C8)</f>
        <v>479.4547263681592</v>
      </c>
      <c r="D9" s="27"/>
      <c r="E9" s="27" t="s">
        <v>40</v>
      </c>
      <c r="F9" s="76"/>
      <c r="G9" s="51" t="s">
        <v>40</v>
      </c>
      <c r="H9" s="30">
        <f>+SUM(H6:H8)</f>
        <v>1606.1733333333334</v>
      </c>
      <c r="I9" s="44">
        <f>+A8*0.02</f>
        <v>1606.1733333333334</v>
      </c>
    </row>
    <row r="10" spans="1:9" ht="12.75">
      <c r="A10" s="9" t="s">
        <v>19</v>
      </c>
      <c r="B10" s="11" t="s">
        <v>34</v>
      </c>
      <c r="C10" s="32">
        <f>+I13/G10</f>
        <v>1339.1883040935675</v>
      </c>
      <c r="D10" s="28">
        <f>'Credit Values'!G7</f>
        <v>2.28</v>
      </c>
      <c r="E10" s="47">
        <f>'Credit Values'!$E$30</f>
        <v>1.25</v>
      </c>
      <c r="F10" s="77" t="s">
        <v>107</v>
      </c>
      <c r="G10" s="82">
        <f t="shared" si="0"/>
        <v>2.8499999999999996</v>
      </c>
      <c r="H10" s="36">
        <f>+C10*G10</f>
        <v>3816.686666666667</v>
      </c>
      <c r="I10" s="37"/>
    </row>
    <row r="11" spans="1:9" ht="12.75">
      <c r="A11" s="10" t="s">
        <v>38</v>
      </c>
      <c r="B11" s="11" t="s">
        <v>42</v>
      </c>
      <c r="C11" s="32">
        <v>0</v>
      </c>
      <c r="D11" s="47">
        <f>'Credit Values'!G18</f>
        <v>1</v>
      </c>
      <c r="E11" s="47">
        <f>'Credit Values'!$E$31</f>
        <v>0.625</v>
      </c>
      <c r="F11" s="77" t="s">
        <v>107</v>
      </c>
      <c r="G11" s="82">
        <f t="shared" si="0"/>
        <v>0.625</v>
      </c>
      <c r="H11" s="38">
        <f>+C11*G11</f>
        <v>0</v>
      </c>
      <c r="I11" s="39"/>
    </row>
    <row r="12" spans="1:9" ht="12.75">
      <c r="A12" s="87">
        <f>Sales!F46</f>
        <v>190834.33333333334</v>
      </c>
      <c r="B12" s="11" t="s">
        <v>57</v>
      </c>
      <c r="C12" s="32">
        <v>0</v>
      </c>
      <c r="D12" s="28">
        <f>'Credit Values'!G8</f>
        <v>1</v>
      </c>
      <c r="E12" s="47">
        <f>'Credit Values'!$E$30</f>
        <v>1.25</v>
      </c>
      <c r="F12" s="77" t="s">
        <v>107</v>
      </c>
      <c r="G12" s="82">
        <f t="shared" si="0"/>
        <v>1.25</v>
      </c>
      <c r="H12" s="38">
        <f>+C12*G12</f>
        <v>0</v>
      </c>
      <c r="I12" s="39"/>
    </row>
    <row r="13" spans="1:9" ht="12.75">
      <c r="A13" s="4"/>
      <c r="B13" s="11" t="s">
        <v>37</v>
      </c>
      <c r="C13" s="32">
        <f>+SUM(C10:C12)</f>
        <v>1339.1883040935675</v>
      </c>
      <c r="D13" s="28"/>
      <c r="E13" s="47" t="s">
        <v>40</v>
      </c>
      <c r="F13" s="78"/>
      <c r="G13" s="82" t="s">
        <v>40</v>
      </c>
      <c r="H13" s="40">
        <f>+SUM(H10:H12)</f>
        <v>3816.686666666667</v>
      </c>
      <c r="I13" s="41">
        <f>+A12*0.02</f>
        <v>3816.686666666667</v>
      </c>
    </row>
    <row r="14" spans="1:9" ht="12.75">
      <c r="A14" s="12" t="s">
        <v>20</v>
      </c>
      <c r="B14" s="7" t="s">
        <v>25</v>
      </c>
      <c r="C14" s="31">
        <f>+I17/G14</f>
        <v>1042.2067363530778</v>
      </c>
      <c r="D14" s="27">
        <f>'Credit Values'!G9</f>
        <v>3.444</v>
      </c>
      <c r="E14" s="27">
        <f>'Credit Values'!$E$30</f>
        <v>1.25</v>
      </c>
      <c r="F14" s="75" t="s">
        <v>107</v>
      </c>
      <c r="G14" s="51">
        <f t="shared" si="0"/>
        <v>4.305</v>
      </c>
      <c r="H14" s="34">
        <f>+C14*G14</f>
        <v>4486.7</v>
      </c>
      <c r="I14" s="42"/>
    </row>
    <row r="15" spans="1:10" ht="12.75">
      <c r="A15" s="14" t="s">
        <v>38</v>
      </c>
      <c r="B15" s="15" t="s">
        <v>42</v>
      </c>
      <c r="C15" s="31">
        <v>0</v>
      </c>
      <c r="D15" s="27">
        <f>'Credit Values'!G18</f>
        <v>1</v>
      </c>
      <c r="E15" s="27">
        <f>'Credit Values'!$E$31</f>
        <v>0.625</v>
      </c>
      <c r="F15" s="75" t="s">
        <v>107</v>
      </c>
      <c r="G15" s="51">
        <f t="shared" si="0"/>
        <v>0.625</v>
      </c>
      <c r="H15" s="34">
        <f>+C15*G15</f>
        <v>0</v>
      </c>
      <c r="I15" s="42"/>
      <c r="J15" s="23"/>
    </row>
    <row r="16" spans="1:9" ht="12.75">
      <c r="A16" s="86">
        <f>Sales!F50</f>
        <v>224335</v>
      </c>
      <c r="B16" s="7" t="s">
        <v>27</v>
      </c>
      <c r="C16" s="31">
        <v>0</v>
      </c>
      <c r="D16" s="27">
        <f>'Credit Values'!G10</f>
        <v>1</v>
      </c>
      <c r="E16" s="27">
        <f>'Credit Values'!$E$30</f>
        <v>1.25</v>
      </c>
      <c r="F16" s="75" t="s">
        <v>107</v>
      </c>
      <c r="G16" s="51">
        <f t="shared" si="0"/>
        <v>1.25</v>
      </c>
      <c r="H16" s="34">
        <f>+C16*G16</f>
        <v>0</v>
      </c>
      <c r="I16" s="42"/>
    </row>
    <row r="17" spans="1:9" ht="12.75">
      <c r="A17" s="13"/>
      <c r="B17" s="7" t="s">
        <v>37</v>
      </c>
      <c r="C17" s="31">
        <f>+SUM(C14:C16)</f>
        <v>1042.2067363530778</v>
      </c>
      <c r="D17" s="27"/>
      <c r="E17" s="27" t="s">
        <v>40</v>
      </c>
      <c r="F17" s="76"/>
      <c r="G17" s="51" t="s">
        <v>40</v>
      </c>
      <c r="H17" s="30">
        <f>+SUM(H14:H16)</f>
        <v>4486.7</v>
      </c>
      <c r="I17" s="42">
        <f>+A16*0.02</f>
        <v>4486.7</v>
      </c>
    </row>
    <row r="18" spans="1:9" ht="12.75">
      <c r="A18" s="9" t="s">
        <v>21</v>
      </c>
      <c r="B18" s="11" t="s">
        <v>26</v>
      </c>
      <c r="C18" s="32">
        <f>+I21/G18</f>
        <v>652.9168330006653</v>
      </c>
      <c r="D18" s="28">
        <f>'Credit Values'!G11</f>
        <v>4.008</v>
      </c>
      <c r="E18" s="47">
        <f>'Credit Values'!$E$30</f>
        <v>1.25</v>
      </c>
      <c r="F18" s="77" t="s">
        <v>107</v>
      </c>
      <c r="G18" s="82">
        <f t="shared" si="0"/>
        <v>5.01</v>
      </c>
      <c r="H18" s="36">
        <f>+C18*G18</f>
        <v>3271.113333333333</v>
      </c>
      <c r="I18" s="37"/>
    </row>
    <row r="19" spans="1:9" ht="12.75">
      <c r="A19" s="10" t="s">
        <v>38</v>
      </c>
      <c r="B19" s="11" t="s">
        <v>42</v>
      </c>
      <c r="C19" s="32">
        <v>0</v>
      </c>
      <c r="D19" s="28">
        <f>'Credit Values'!G18</f>
        <v>1</v>
      </c>
      <c r="E19" s="47">
        <f>'Credit Values'!$E$31</f>
        <v>0.625</v>
      </c>
      <c r="F19" s="77" t="s">
        <v>107</v>
      </c>
      <c r="G19" s="82">
        <f t="shared" si="0"/>
        <v>0.625</v>
      </c>
      <c r="H19" s="38">
        <f>+C19*G19</f>
        <v>0</v>
      </c>
      <c r="I19" s="39"/>
    </row>
    <row r="20" spans="1:9" ht="12.75">
      <c r="A20" s="87">
        <f>Sales!F54</f>
        <v>163555.66666666666</v>
      </c>
      <c r="B20" s="11" t="s">
        <v>58</v>
      </c>
      <c r="C20" s="32">
        <v>0</v>
      </c>
      <c r="D20" s="28">
        <f>'Credit Values'!G12</f>
        <v>2.2</v>
      </c>
      <c r="E20" s="47">
        <f>'Credit Values'!$E$30</f>
        <v>1.25</v>
      </c>
      <c r="F20" s="77" t="s">
        <v>107</v>
      </c>
      <c r="G20" s="82">
        <f t="shared" si="0"/>
        <v>2.75</v>
      </c>
      <c r="H20" s="38">
        <f>+C20*G20</f>
        <v>0</v>
      </c>
      <c r="I20" s="39"/>
    </row>
    <row r="21" spans="1:9" ht="12.75">
      <c r="A21" s="10"/>
      <c r="B21" s="11" t="s">
        <v>37</v>
      </c>
      <c r="C21" s="32">
        <f>+SUM(C18:C20)</f>
        <v>652.9168330006653</v>
      </c>
      <c r="D21" s="28"/>
      <c r="E21" s="47" t="s">
        <v>40</v>
      </c>
      <c r="F21" s="78"/>
      <c r="G21" s="82" t="s">
        <v>40</v>
      </c>
      <c r="H21" s="40">
        <f>+SUM(H18:H20)</f>
        <v>3271.113333333333</v>
      </c>
      <c r="I21" s="41">
        <f>+A20*0.02</f>
        <v>3271.1133333333332</v>
      </c>
    </row>
    <row r="22" spans="1:9" ht="12.75">
      <c r="A22" s="12" t="s">
        <v>22</v>
      </c>
      <c r="B22" s="16" t="s">
        <v>6</v>
      </c>
      <c r="C22" s="31">
        <f>+I25/G22</f>
        <v>229.40897435897438</v>
      </c>
      <c r="D22" s="27">
        <f>'Credit Values'!G13</f>
        <v>4.16</v>
      </c>
      <c r="E22" s="27">
        <f>'Credit Values'!$E$30</f>
        <v>1.25</v>
      </c>
      <c r="F22" s="75" t="s">
        <v>107</v>
      </c>
      <c r="G22" s="51">
        <f t="shared" si="0"/>
        <v>5.2</v>
      </c>
      <c r="H22" s="34">
        <f>+C22*G22</f>
        <v>1192.9266666666667</v>
      </c>
      <c r="I22" s="42"/>
    </row>
    <row r="23" spans="1:9" ht="12.75">
      <c r="A23" s="14" t="s">
        <v>38</v>
      </c>
      <c r="B23" s="16" t="s">
        <v>42</v>
      </c>
      <c r="C23" s="31">
        <v>0</v>
      </c>
      <c r="D23" s="27">
        <f>'Credit Values'!G18</f>
        <v>1</v>
      </c>
      <c r="E23" s="27">
        <f>'Credit Values'!$E$31</f>
        <v>0.625</v>
      </c>
      <c r="F23" s="75" t="s">
        <v>107</v>
      </c>
      <c r="G23" s="51">
        <f t="shared" si="0"/>
        <v>0.625</v>
      </c>
      <c r="H23" s="34">
        <f>+C23*G23</f>
        <v>0</v>
      </c>
      <c r="I23" s="42"/>
    </row>
    <row r="24" spans="1:9" ht="12.75">
      <c r="A24" s="86">
        <f>Sales!F58</f>
        <v>59646.333333333336</v>
      </c>
      <c r="B24" s="7" t="s">
        <v>59</v>
      </c>
      <c r="C24" s="30">
        <v>0</v>
      </c>
      <c r="D24" s="27">
        <f>'Credit Values'!G14</f>
        <v>1.4</v>
      </c>
      <c r="E24" s="27">
        <f>'Credit Values'!$E$30</f>
        <v>1.25</v>
      </c>
      <c r="F24" s="75" t="s">
        <v>107</v>
      </c>
      <c r="G24" s="51">
        <f t="shared" si="0"/>
        <v>1.75</v>
      </c>
      <c r="H24" s="34">
        <f>+C24*G24</f>
        <v>0</v>
      </c>
      <c r="I24" s="42"/>
    </row>
    <row r="25" spans="1:9" ht="12.75">
      <c r="A25" s="14"/>
      <c r="B25" s="15" t="s">
        <v>37</v>
      </c>
      <c r="C25" s="30">
        <f>+SUM(C22:C24)</f>
        <v>229.40897435897438</v>
      </c>
      <c r="D25" s="27"/>
      <c r="E25" s="27" t="s">
        <v>40</v>
      </c>
      <c r="F25" s="76"/>
      <c r="G25" s="51" t="s">
        <v>40</v>
      </c>
      <c r="H25" s="30">
        <f>+SUM(H22:H24)</f>
        <v>1192.9266666666667</v>
      </c>
      <c r="I25" s="42">
        <f>+A24*0.02</f>
        <v>1192.9266666666667</v>
      </c>
    </row>
    <row r="26" spans="1:9" ht="12.75">
      <c r="A26" s="9" t="s">
        <v>23</v>
      </c>
      <c r="B26" s="11" t="s">
        <v>7</v>
      </c>
      <c r="C26" s="32">
        <f>+I29/G26</f>
        <v>677.0618966496307</v>
      </c>
      <c r="D26" s="28">
        <f>'Credit Values'!G15</f>
        <v>4.696000000000001</v>
      </c>
      <c r="E26" s="47">
        <f>'Credit Values'!$E$30</f>
        <v>1.25</v>
      </c>
      <c r="F26" s="79" t="s">
        <v>107</v>
      </c>
      <c r="G26" s="82">
        <f t="shared" si="0"/>
        <v>5.870000000000001</v>
      </c>
      <c r="H26" s="36">
        <f>+C26*G26</f>
        <v>3974.353333333333</v>
      </c>
      <c r="I26" s="37"/>
    </row>
    <row r="27" spans="1:9" ht="12.75">
      <c r="A27" s="10" t="s">
        <v>38</v>
      </c>
      <c r="B27" s="2" t="s">
        <v>42</v>
      </c>
      <c r="C27" s="32">
        <v>0</v>
      </c>
      <c r="D27" s="28">
        <f>'Credit Values'!G18</f>
        <v>1</v>
      </c>
      <c r="E27" s="47">
        <f>'Credit Values'!$E$31</f>
        <v>0.625</v>
      </c>
      <c r="F27" s="77" t="s">
        <v>107</v>
      </c>
      <c r="G27" s="82">
        <f t="shared" si="0"/>
        <v>0.625</v>
      </c>
      <c r="H27" s="38">
        <f>+C27*G27</f>
        <v>0</v>
      </c>
      <c r="I27" s="39"/>
    </row>
    <row r="28" spans="1:9" ht="12.75">
      <c r="A28" s="87">
        <f>Sales!F62</f>
        <v>198717.66666666666</v>
      </c>
      <c r="B28" s="11" t="s">
        <v>60</v>
      </c>
      <c r="C28" s="32">
        <v>0</v>
      </c>
      <c r="D28" s="28">
        <f>'Credit Values'!G16</f>
        <v>1.4</v>
      </c>
      <c r="E28" s="47">
        <f>'Credit Values'!$E$30</f>
        <v>1.25</v>
      </c>
      <c r="F28" s="77" t="s">
        <v>107</v>
      </c>
      <c r="G28" s="82">
        <f t="shared" si="0"/>
        <v>1.75</v>
      </c>
      <c r="H28" s="38">
        <f>+C28*G28</f>
        <v>0</v>
      </c>
      <c r="I28" s="39"/>
    </row>
    <row r="29" spans="1:11" ht="12.75">
      <c r="A29" s="4"/>
      <c r="B29" s="1" t="s">
        <v>37</v>
      </c>
      <c r="C29" s="32">
        <f>+SUM(C26:C28)</f>
        <v>677.0618966496307</v>
      </c>
      <c r="D29" s="28"/>
      <c r="E29" s="29" t="s">
        <v>40</v>
      </c>
      <c r="F29" s="43"/>
      <c r="G29" s="52"/>
      <c r="H29" s="40">
        <f>+SUM(H26:H28)</f>
        <v>3974.353333333333</v>
      </c>
      <c r="I29" s="41">
        <f>+A28*0.02</f>
        <v>3974.353333333333</v>
      </c>
      <c r="J29" s="105" t="s">
        <v>178</v>
      </c>
      <c r="K29" s="105" t="s">
        <v>47</v>
      </c>
    </row>
    <row r="30" spans="1:11" ht="12.75">
      <c r="A30" s="1"/>
      <c r="B30" s="1"/>
      <c r="C30" s="1"/>
      <c r="D30" s="28"/>
      <c r="E30" s="1"/>
      <c r="F30" s="1"/>
      <c r="G30" s="28"/>
      <c r="H30" s="32"/>
      <c r="I30" s="32"/>
      <c r="J30" s="105" t="s">
        <v>12</v>
      </c>
      <c r="K30" s="105" t="s">
        <v>179</v>
      </c>
    </row>
    <row r="31" spans="1:11" ht="12.75">
      <c r="A31" s="88">
        <f>+A28+A24+A20+A16+A12+A8</f>
        <v>917397.6666666666</v>
      </c>
      <c r="B31" s="7" t="s">
        <v>35</v>
      </c>
      <c r="C31" s="26">
        <f>+C29+C25+C21+C17+C13+C9</f>
        <v>4420.237470824074</v>
      </c>
      <c r="D31" s="25"/>
      <c r="E31" s="25"/>
      <c r="F31" s="25"/>
      <c r="G31" s="84"/>
      <c r="H31" s="26">
        <f>+H29+H25+H21+H17+H13+H9</f>
        <v>18347.953333333335</v>
      </c>
      <c r="I31" s="26">
        <f>+I29+I25+I21+I17+I13+I9</f>
        <v>18347.953333333335</v>
      </c>
      <c r="J31" s="106">
        <f>I31/C31</f>
        <v>4.150897650734744</v>
      </c>
      <c r="K31" s="107">
        <f>'Fleet totals'!F6/J31</f>
        <v>0.004818234917562911</v>
      </c>
    </row>
    <row r="32" spans="1:9" ht="12.75">
      <c r="A32" s="1"/>
      <c r="B32" s="1"/>
      <c r="C32" s="1"/>
      <c r="D32" s="1"/>
      <c r="E32" s="1"/>
      <c r="F32" s="1"/>
      <c r="G32" s="28"/>
      <c r="H32" s="1"/>
      <c r="I32" s="1"/>
    </row>
    <row r="33" spans="1:9" ht="12.75">
      <c r="A33" s="7" t="s">
        <v>126</v>
      </c>
      <c r="B33" s="7"/>
      <c r="C33" s="31">
        <f>+I33/G33</f>
        <v>1467.8362666666667</v>
      </c>
      <c r="D33" s="27">
        <f>'Credit Values'!G19</f>
        <v>10</v>
      </c>
      <c r="E33" s="27">
        <f>'Credit Values'!E30</f>
        <v>1.25</v>
      </c>
      <c r="F33" s="25" t="s">
        <v>107</v>
      </c>
      <c r="G33" s="27">
        <f>+D33*E33</f>
        <v>12.5</v>
      </c>
      <c r="H33" s="31">
        <f>+C33*G33</f>
        <v>18347.953333333335</v>
      </c>
      <c r="I33" s="26">
        <f>+I31+I27+I23+I19+I15+I11</f>
        <v>18347.953333333335</v>
      </c>
    </row>
  </sheetData>
  <printOptions/>
  <pageMargins left="0.95" right="0.75" top="1" bottom="1" header="0.5" footer="0.5"/>
  <pageSetup fitToHeight="1" fitToWidth="1" horizontalDpi="600" verticalDpi="600" orientation="landscape" r:id="rId4"/>
  <headerFooter alignWithMargins="0">
    <oddHeader>&amp;C&amp;"Arial,Bold"&amp;20Includes Intermediate Manufacturers</oddHead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33"/>
  <sheetViews>
    <sheetView zoomScale="75" zoomScaleNormal="75" workbookViewId="0" topLeftCell="A2">
      <selection activeCell="K31" sqref="K31"/>
    </sheetView>
  </sheetViews>
  <sheetFormatPr defaultColWidth="9.140625" defaultRowHeight="12.75"/>
  <cols>
    <col min="1" max="1" width="13.421875" style="0" customWidth="1"/>
    <col min="2" max="2" width="17.421875" style="0" customWidth="1"/>
    <col min="6" max="6" width="10.7109375" style="0" customWidth="1"/>
    <col min="7" max="7" width="11.28125" style="0" customWidth="1"/>
    <col min="11" max="11" width="12.421875" style="0" customWidth="1"/>
  </cols>
  <sheetData>
    <row r="1" ht="12.75">
      <c r="A1" t="s">
        <v>66</v>
      </c>
    </row>
    <row r="2" ht="12.75">
      <c r="D2" s="2"/>
    </row>
    <row r="3" spans="1:9" ht="12.75">
      <c r="A3" s="9" t="s">
        <v>17</v>
      </c>
      <c r="B3" s="19" t="s">
        <v>11</v>
      </c>
      <c r="C3" s="19" t="s">
        <v>55</v>
      </c>
      <c r="D3" s="135" t="s">
        <v>12</v>
      </c>
      <c r="E3" s="140"/>
      <c r="F3" s="136"/>
      <c r="G3" s="19" t="s">
        <v>35</v>
      </c>
      <c r="H3" s="9" t="s">
        <v>29</v>
      </c>
      <c r="I3" s="9" t="s">
        <v>39</v>
      </c>
    </row>
    <row r="4" spans="1:9" ht="12.75">
      <c r="A4" s="4"/>
      <c r="B4" s="4"/>
      <c r="C4" s="4" t="s">
        <v>30</v>
      </c>
      <c r="D4" s="18" t="s">
        <v>28</v>
      </c>
      <c r="E4" s="17" t="s">
        <v>54</v>
      </c>
      <c r="F4" s="6" t="s">
        <v>48</v>
      </c>
      <c r="G4" s="4" t="s">
        <v>56</v>
      </c>
      <c r="H4" s="4" t="s">
        <v>36</v>
      </c>
      <c r="I4" s="4" t="s">
        <v>36</v>
      </c>
    </row>
    <row r="5" spans="1:9" ht="12.75">
      <c r="A5" s="10"/>
      <c r="B5" s="4"/>
      <c r="C5" s="4"/>
      <c r="D5" s="18"/>
      <c r="E5" s="17" t="s">
        <v>40</v>
      </c>
      <c r="F5" s="6" t="s">
        <v>40</v>
      </c>
      <c r="G5" s="4"/>
      <c r="H5" s="6"/>
      <c r="I5" s="10"/>
    </row>
    <row r="6" spans="1:9" ht="12.75">
      <c r="A6" s="12" t="s">
        <v>18</v>
      </c>
      <c r="B6" s="15" t="s">
        <v>24</v>
      </c>
      <c r="C6" s="30">
        <f>+I9/G6</f>
        <v>512.6599907129271</v>
      </c>
      <c r="D6" s="27">
        <f>'Credit Values'!D56</f>
        <v>2.386</v>
      </c>
      <c r="E6" s="27">
        <f>'Credit Values'!$F$30</f>
        <v>1.25</v>
      </c>
      <c r="F6" s="51">
        <f>'Credit Values'!D57</f>
        <v>1.050467289719626</v>
      </c>
      <c r="G6" s="51">
        <f>+D6*E6*F6</f>
        <v>3.1330186915887848</v>
      </c>
      <c r="H6" s="34">
        <f>+C6*G6</f>
        <v>1606.1733333333334</v>
      </c>
      <c r="I6" s="30"/>
    </row>
    <row r="7" spans="1:9" ht="12.75">
      <c r="A7" s="14" t="s">
        <v>38</v>
      </c>
      <c r="B7" s="7" t="s">
        <v>42</v>
      </c>
      <c r="C7" s="31">
        <v>0</v>
      </c>
      <c r="D7" s="27">
        <f>'Credit Values'!$D$104</f>
        <v>1</v>
      </c>
      <c r="E7" s="27">
        <f>'Credit Values'!$F$31</f>
        <v>0.625</v>
      </c>
      <c r="F7" s="51">
        <f>'Credit Values'!$D$105</f>
        <v>1</v>
      </c>
      <c r="G7" s="51">
        <f aca="true" t="shared" si="0" ref="G7:G28">+D7*E7*F7</f>
        <v>0.625</v>
      </c>
      <c r="H7" s="34">
        <f>+C7*G7</f>
        <v>0</v>
      </c>
      <c r="I7" s="42"/>
    </row>
    <row r="8" spans="1:9" ht="12.75">
      <c r="A8" s="86">
        <f>Sales!G42</f>
        <v>80308.66666666667</v>
      </c>
      <c r="B8" s="7" t="s">
        <v>27</v>
      </c>
      <c r="C8" s="31">
        <v>0</v>
      </c>
      <c r="D8" s="27">
        <f>'Credit Values'!D60</f>
        <v>1</v>
      </c>
      <c r="E8" s="27">
        <f>'Credit Values'!$F$30</f>
        <v>1.25</v>
      </c>
      <c r="F8" s="51">
        <f>'Credit Values'!D61</f>
        <v>1.0350762527233115</v>
      </c>
      <c r="G8" s="51">
        <f t="shared" si="0"/>
        <v>1.2938453159041394</v>
      </c>
      <c r="H8" s="34">
        <f>+C8*G8</f>
        <v>0</v>
      </c>
      <c r="I8" s="42"/>
    </row>
    <row r="9" spans="1:9" ht="12.75">
      <c r="A9" s="14"/>
      <c r="B9" s="16" t="s">
        <v>37</v>
      </c>
      <c r="C9" s="31">
        <f>+SUM(C6:C8)</f>
        <v>512.6599907129271</v>
      </c>
      <c r="D9" s="27"/>
      <c r="E9" s="27" t="s">
        <v>40</v>
      </c>
      <c r="F9" s="13"/>
      <c r="G9" s="51"/>
      <c r="H9" s="30">
        <f>+SUM(H6:H8)</f>
        <v>1606.1733333333334</v>
      </c>
      <c r="I9" s="44">
        <f>+A8*0.02</f>
        <v>1606.1733333333334</v>
      </c>
    </row>
    <row r="10" spans="1:9" ht="12.75">
      <c r="A10" s="9" t="s">
        <v>19</v>
      </c>
      <c r="B10" s="11" t="s">
        <v>34</v>
      </c>
      <c r="C10" s="32">
        <f>+I13/G10</f>
        <v>1325.407047155814</v>
      </c>
      <c r="D10" s="28">
        <f>'Credit Values'!D64</f>
        <v>2.056</v>
      </c>
      <c r="E10" s="47">
        <f>'Credit Values'!$F$30</f>
        <v>1.25</v>
      </c>
      <c r="F10" s="52">
        <f>'Credit Values'!D65</f>
        <v>1.12048</v>
      </c>
      <c r="G10" s="82">
        <f t="shared" si="0"/>
        <v>2.8796336</v>
      </c>
      <c r="H10" s="36">
        <f>+C10*G10</f>
        <v>3816.686666666667</v>
      </c>
      <c r="I10" s="37"/>
    </row>
    <row r="11" spans="1:9" ht="12.75">
      <c r="A11" s="10" t="s">
        <v>38</v>
      </c>
      <c r="B11" s="11" t="s">
        <v>42</v>
      </c>
      <c r="C11" s="32">
        <v>0</v>
      </c>
      <c r="D11" s="83">
        <f>'Credit Values'!$D$104</f>
        <v>1</v>
      </c>
      <c r="E11" s="47">
        <f>'Credit Values'!$F$31</f>
        <v>0.625</v>
      </c>
      <c r="F11" s="82">
        <f>'Credit Values'!$D$105</f>
        <v>1</v>
      </c>
      <c r="G11" s="82">
        <f t="shared" si="0"/>
        <v>0.625</v>
      </c>
      <c r="H11" s="38">
        <f>+C11*G11</f>
        <v>0</v>
      </c>
      <c r="I11" s="39"/>
    </row>
    <row r="12" spans="1:9" ht="12.75">
      <c r="A12" s="87">
        <f>Sales!G46</f>
        <v>190834.33333333334</v>
      </c>
      <c r="B12" s="11" t="s">
        <v>57</v>
      </c>
      <c r="C12" s="32">
        <v>0</v>
      </c>
      <c r="D12" s="28">
        <f>'Credit Values'!D68</f>
        <v>1</v>
      </c>
      <c r="E12" s="47">
        <f>'Credit Values'!$F$30</f>
        <v>1.25</v>
      </c>
      <c r="F12" s="52">
        <f>'Credit Values'!D69</f>
        <v>1.0350036310820625</v>
      </c>
      <c r="G12" s="82">
        <f t="shared" si="0"/>
        <v>1.2937545388525782</v>
      </c>
      <c r="H12" s="38">
        <f>+C12*G12</f>
        <v>0</v>
      </c>
      <c r="I12" s="39"/>
    </row>
    <row r="13" spans="1:9" ht="12.75">
      <c r="A13" s="4"/>
      <c r="B13" s="11" t="s">
        <v>37</v>
      </c>
      <c r="C13" s="32">
        <f>+SUM(C10:C12)</f>
        <v>1325.407047155814</v>
      </c>
      <c r="D13" s="28"/>
      <c r="E13" s="47" t="s">
        <v>40</v>
      </c>
      <c r="F13" s="43"/>
      <c r="G13" s="82"/>
      <c r="H13" s="40">
        <f>+SUM(H10:H12)</f>
        <v>3816.686666666667</v>
      </c>
      <c r="I13" s="41">
        <f>+A12*0.02</f>
        <v>3816.686666666667</v>
      </c>
    </row>
    <row r="14" spans="1:9" ht="12.75">
      <c r="A14" s="12" t="s">
        <v>20</v>
      </c>
      <c r="B14" s="7" t="s">
        <v>25</v>
      </c>
      <c r="C14" s="31">
        <f>+I17/G14</f>
        <v>1006.9768253233364</v>
      </c>
      <c r="D14" s="27">
        <f>'Credit Values'!D72</f>
        <v>3.0162999999999998</v>
      </c>
      <c r="E14" s="27">
        <f>'Credit Values'!$F$30</f>
        <v>1.25</v>
      </c>
      <c r="F14" s="51">
        <f>'Credit Values'!D73</f>
        <v>1.1817429193899782</v>
      </c>
      <c r="G14" s="51">
        <f t="shared" si="0"/>
        <v>4.455613959694989</v>
      </c>
      <c r="H14" s="34">
        <f>+C14*G14</f>
        <v>4486.7</v>
      </c>
      <c r="I14" s="42"/>
    </row>
    <row r="15" spans="1:10" ht="12.75">
      <c r="A15" s="14" t="s">
        <v>38</v>
      </c>
      <c r="B15" s="15" t="s">
        <v>42</v>
      </c>
      <c r="C15" s="31">
        <v>0</v>
      </c>
      <c r="D15" s="27">
        <f>'Credit Values'!$D$104</f>
        <v>1</v>
      </c>
      <c r="E15" s="27">
        <f>'Credit Values'!$F$31</f>
        <v>0.625</v>
      </c>
      <c r="F15" s="51">
        <f>'Credit Values'!$D$105</f>
        <v>1</v>
      </c>
      <c r="G15" s="51">
        <f t="shared" si="0"/>
        <v>0.625</v>
      </c>
      <c r="H15" s="34">
        <f>+C15*G15</f>
        <v>0</v>
      </c>
      <c r="I15" s="42"/>
      <c r="J15" s="23"/>
    </row>
    <row r="16" spans="1:9" ht="12.75">
      <c r="A16" s="86">
        <f>Sales!G50</f>
        <v>224335</v>
      </c>
      <c r="B16" s="7" t="s">
        <v>27</v>
      </c>
      <c r="C16" s="31">
        <v>0</v>
      </c>
      <c r="D16" s="27">
        <f>'Credit Values'!D76</f>
        <v>1</v>
      </c>
      <c r="E16" s="27">
        <f>'Credit Values'!$F$30</f>
        <v>1.25</v>
      </c>
      <c r="F16" s="51">
        <f>'Credit Values'!D77</f>
        <v>1.0350762527233115</v>
      </c>
      <c r="G16" s="51">
        <f t="shared" si="0"/>
        <v>1.2938453159041394</v>
      </c>
      <c r="H16" s="34">
        <f>+C16*G16</f>
        <v>0</v>
      </c>
      <c r="I16" s="42"/>
    </row>
    <row r="17" spans="1:9" ht="12.75">
      <c r="A17" s="13"/>
      <c r="B17" s="7" t="s">
        <v>37</v>
      </c>
      <c r="C17" s="31">
        <f>+SUM(C14:C16)</f>
        <v>1006.9768253233364</v>
      </c>
      <c r="D17" s="27"/>
      <c r="E17" s="27"/>
      <c r="F17" s="13"/>
      <c r="G17" s="51">
        <f t="shared" si="0"/>
        <v>0</v>
      </c>
      <c r="H17" s="30">
        <f>+SUM(H14:H16)</f>
        <v>4486.7</v>
      </c>
      <c r="I17" s="42">
        <f>+A16*0.02</f>
        <v>4486.7</v>
      </c>
    </row>
    <row r="18" spans="1:9" ht="12.75">
      <c r="A18" s="9" t="s">
        <v>21</v>
      </c>
      <c r="B18" s="11" t="s">
        <v>26</v>
      </c>
      <c r="C18" s="32">
        <f>+I21/G18</f>
        <v>680.7826713795214</v>
      </c>
      <c r="D18" s="28">
        <f>'Credit Values'!D80</f>
        <v>3.4816</v>
      </c>
      <c r="E18" s="47">
        <f>'Credit Values'!$F$30</f>
        <v>1.25</v>
      </c>
      <c r="F18" s="52">
        <f>'Credit Values'!D81</f>
        <v>1.104074074074074</v>
      </c>
      <c r="G18" s="82">
        <f t="shared" si="0"/>
        <v>4.80493037037037</v>
      </c>
      <c r="H18" s="36">
        <f>+C18*G18</f>
        <v>3271.1133333333332</v>
      </c>
      <c r="I18" s="37"/>
    </row>
    <row r="19" spans="1:9" ht="12.75">
      <c r="A19" s="10" t="s">
        <v>38</v>
      </c>
      <c r="B19" s="11" t="s">
        <v>42</v>
      </c>
      <c r="C19" s="32">
        <v>0</v>
      </c>
      <c r="D19" s="83">
        <f>'Credit Values'!$D$104</f>
        <v>1</v>
      </c>
      <c r="E19" s="47">
        <f>'Credit Values'!$F$31</f>
        <v>0.625</v>
      </c>
      <c r="F19" s="82">
        <f>'Credit Values'!$D$105</f>
        <v>1</v>
      </c>
      <c r="G19" s="82">
        <f t="shared" si="0"/>
        <v>0.625</v>
      </c>
      <c r="H19" s="38">
        <f>+C19*G19</f>
        <v>0</v>
      </c>
      <c r="I19" s="39"/>
    </row>
    <row r="20" spans="1:9" ht="12.75">
      <c r="A20" s="87">
        <f>Sales!G54</f>
        <v>163555.66666666666</v>
      </c>
      <c r="B20" s="11" t="s">
        <v>58</v>
      </c>
      <c r="C20" s="32">
        <v>0</v>
      </c>
      <c r="D20" s="28">
        <f>'Credit Values'!D84</f>
        <v>1.9900000000000002</v>
      </c>
      <c r="E20" s="47">
        <f>'Credit Values'!$F$30</f>
        <v>1.25</v>
      </c>
      <c r="F20" s="52">
        <f>'Credit Values'!D85</f>
        <v>1.0452432824981845</v>
      </c>
      <c r="G20" s="82">
        <f t="shared" si="0"/>
        <v>2.6000426652142345</v>
      </c>
      <c r="H20" s="38">
        <f>+C20*G20</f>
        <v>0</v>
      </c>
      <c r="I20" s="39"/>
    </row>
    <row r="21" spans="1:9" ht="12.75">
      <c r="A21" s="10"/>
      <c r="B21" s="11" t="s">
        <v>37</v>
      </c>
      <c r="C21" s="32">
        <f>+SUM(C18:C20)</f>
        <v>680.7826713795214</v>
      </c>
      <c r="D21" s="28"/>
      <c r="E21" s="47" t="s">
        <v>40</v>
      </c>
      <c r="F21" s="43"/>
      <c r="G21" s="82"/>
      <c r="H21" s="40">
        <f>+SUM(H18:H20)</f>
        <v>3271.1133333333332</v>
      </c>
      <c r="I21" s="41">
        <f>+A20*0.02</f>
        <v>3271.1133333333332</v>
      </c>
    </row>
    <row r="22" spans="1:9" ht="12.75">
      <c r="A22" s="12" t="s">
        <v>22</v>
      </c>
      <c r="B22" s="16" t="s">
        <v>6</v>
      </c>
      <c r="C22" s="31">
        <f>+I25/G22</f>
        <v>223.08826041595887</v>
      </c>
      <c r="D22" s="27">
        <f>'Credit Values'!D88</f>
        <v>3.6069999999999998</v>
      </c>
      <c r="E22" s="27">
        <f>'Credit Values'!$F$30</f>
        <v>1.25</v>
      </c>
      <c r="F22" s="51">
        <f>'Credit Values'!D89</f>
        <v>1.1859895833333334</v>
      </c>
      <c r="G22" s="51">
        <f t="shared" si="0"/>
        <v>5.347330533854167</v>
      </c>
      <c r="H22" s="34">
        <f>+C22*G22</f>
        <v>1192.9266666666667</v>
      </c>
      <c r="I22" s="42"/>
    </row>
    <row r="23" spans="1:9" ht="12.75">
      <c r="A23" s="14" t="s">
        <v>38</v>
      </c>
      <c r="B23" s="16" t="s">
        <v>42</v>
      </c>
      <c r="C23" s="31">
        <v>0</v>
      </c>
      <c r="D23" s="27">
        <f>'Credit Values'!$D$104</f>
        <v>1</v>
      </c>
      <c r="E23" s="27">
        <f>'Credit Values'!$F$31</f>
        <v>0.625</v>
      </c>
      <c r="F23" s="51">
        <f>'Credit Values'!$D$105</f>
        <v>1</v>
      </c>
      <c r="G23" s="51">
        <f t="shared" si="0"/>
        <v>0.625</v>
      </c>
      <c r="H23" s="34">
        <f>+C23*G23</f>
        <v>0</v>
      </c>
      <c r="I23" s="42"/>
    </row>
    <row r="24" spans="1:9" ht="12.75">
      <c r="A24" s="86">
        <f>Sales!G58</f>
        <v>59646.333333333336</v>
      </c>
      <c r="B24" s="7" t="s">
        <v>59</v>
      </c>
      <c r="C24" s="30">
        <v>0</v>
      </c>
      <c r="D24" s="27">
        <f>'Credit Values'!D92</f>
        <v>1.3299999999999998</v>
      </c>
      <c r="E24" s="27">
        <f>'Credit Values'!$F$30</f>
        <v>1.25</v>
      </c>
      <c r="F24" s="51">
        <f>'Credit Values'!D93</f>
        <v>1.094800290486565</v>
      </c>
      <c r="G24" s="51">
        <f t="shared" si="0"/>
        <v>1.8201054829339143</v>
      </c>
      <c r="H24" s="34">
        <f>+C24*G24</f>
        <v>0</v>
      </c>
      <c r="I24" s="42"/>
    </row>
    <row r="25" spans="1:9" ht="12.75">
      <c r="A25" s="14"/>
      <c r="B25" s="15" t="s">
        <v>37</v>
      </c>
      <c r="C25" s="30">
        <f>+SUM(C22:C24)</f>
        <v>223.08826041595887</v>
      </c>
      <c r="D25" s="27"/>
      <c r="E25" s="27" t="s">
        <v>40</v>
      </c>
      <c r="F25" s="13"/>
      <c r="G25" s="51"/>
      <c r="H25" s="30">
        <f>+SUM(H22:H24)</f>
        <v>1192.9266666666667</v>
      </c>
      <c r="I25" s="42">
        <f>+A24*0.02</f>
        <v>1192.9266666666667</v>
      </c>
    </row>
    <row r="26" spans="1:9" ht="12.75">
      <c r="A26" s="9" t="s">
        <v>23</v>
      </c>
      <c r="B26" s="11" t="s">
        <v>7</v>
      </c>
      <c r="C26" s="32">
        <f>+I29/G26</f>
        <v>669.0935900350788</v>
      </c>
      <c r="D26" s="28">
        <f>'Credit Values'!D96</f>
        <v>4.049200000000001</v>
      </c>
      <c r="E26" s="47">
        <f>'Credit Values'!$F$30</f>
        <v>1.25</v>
      </c>
      <c r="F26" s="47">
        <f>'Credit Values'!D97</f>
        <v>1.1735466666666667</v>
      </c>
      <c r="G26" s="82">
        <f t="shared" si="0"/>
        <v>5.939906453333334</v>
      </c>
      <c r="H26" s="36">
        <f>+C26*G26</f>
        <v>3974.353333333333</v>
      </c>
      <c r="I26" s="37"/>
    </row>
    <row r="27" spans="1:9" ht="12.75">
      <c r="A27" s="10" t="s">
        <v>38</v>
      </c>
      <c r="B27" s="2" t="s">
        <v>42</v>
      </c>
      <c r="C27" s="32">
        <v>0</v>
      </c>
      <c r="D27" s="83">
        <f>'Credit Values'!$D$104</f>
        <v>1</v>
      </c>
      <c r="E27" s="47">
        <f>'Credit Values'!$F$31</f>
        <v>0.625</v>
      </c>
      <c r="F27" s="82">
        <f>'Credit Values'!$D$105</f>
        <v>1</v>
      </c>
      <c r="G27" s="82">
        <f t="shared" si="0"/>
        <v>0.625</v>
      </c>
      <c r="H27" s="38">
        <f>+C27*G27</f>
        <v>0</v>
      </c>
      <c r="I27" s="39"/>
    </row>
    <row r="28" spans="1:9" ht="12.75">
      <c r="A28" s="87">
        <f>Sales!G62</f>
        <v>198717.66666666666</v>
      </c>
      <c r="B28" s="11" t="s">
        <v>60</v>
      </c>
      <c r="C28" s="32">
        <v>0</v>
      </c>
      <c r="D28" s="28">
        <f>'Credit Values'!D100</f>
        <v>1.3299999999999998</v>
      </c>
      <c r="E28" s="47">
        <f>'Credit Values'!$F$30</f>
        <v>1.25</v>
      </c>
      <c r="F28" s="52">
        <f>'Credit Values'!D101</f>
        <v>1.085039941902687</v>
      </c>
      <c r="G28" s="82">
        <f t="shared" si="0"/>
        <v>1.803878903413217</v>
      </c>
      <c r="H28" s="38">
        <f>+C28*G28</f>
        <v>0</v>
      </c>
      <c r="I28" s="39"/>
    </row>
    <row r="29" spans="1:11" ht="12.75">
      <c r="A29" s="4"/>
      <c r="B29" s="1" t="s">
        <v>37</v>
      </c>
      <c r="C29" s="32">
        <f>+SUM(C26:C28)</f>
        <v>669.0935900350788</v>
      </c>
      <c r="D29" s="28"/>
      <c r="E29" s="29" t="s">
        <v>40</v>
      </c>
      <c r="F29" s="43"/>
      <c r="G29" s="52"/>
      <c r="H29" s="40">
        <f>+SUM(H26:H28)</f>
        <v>3974.353333333333</v>
      </c>
      <c r="I29" s="41">
        <f>+A28*0.02</f>
        <v>3974.353333333333</v>
      </c>
      <c r="J29" s="105" t="s">
        <v>178</v>
      </c>
      <c r="K29" s="105" t="s">
        <v>47</v>
      </c>
    </row>
    <row r="30" spans="7:11" ht="12.75">
      <c r="G30" s="85"/>
      <c r="H30" s="33"/>
      <c r="I30" s="22"/>
      <c r="J30" s="105" t="s">
        <v>12</v>
      </c>
      <c r="K30" s="105" t="s">
        <v>179</v>
      </c>
    </row>
    <row r="31" spans="1:11" ht="12.75">
      <c r="A31" s="88">
        <f>+A28+A24+A20+A16+A12+A8</f>
        <v>917397.6666666666</v>
      </c>
      <c r="B31" s="7" t="s">
        <v>35</v>
      </c>
      <c r="C31" s="26">
        <f>+C29+C25+C21+C17+C13+C9</f>
        <v>4418.0083850226365</v>
      </c>
      <c r="D31" s="25"/>
      <c r="E31" s="25"/>
      <c r="F31" s="25"/>
      <c r="G31" s="84"/>
      <c r="H31" s="26">
        <f>+H29+H25+H21+H17+H13+H9</f>
        <v>18347.953333333335</v>
      </c>
      <c r="I31" s="26">
        <f>+I29+I25+I21+I17+I13+I9</f>
        <v>18347.953333333335</v>
      </c>
      <c r="J31" s="106">
        <f>I31/C31</f>
        <v>4.152991967044292</v>
      </c>
      <c r="K31" s="107">
        <f>'Fleet totals'!F7/J31</f>
        <v>0.004815805125246634</v>
      </c>
    </row>
    <row r="32" ht="12.75">
      <c r="G32" s="85"/>
    </row>
    <row r="33" spans="1:9" ht="12.75">
      <c r="A33" s="7" t="s">
        <v>126</v>
      </c>
      <c r="B33" s="7"/>
      <c r="C33" s="31">
        <f>+I33/G33</f>
        <v>1623.9510962838012</v>
      </c>
      <c r="D33" s="27">
        <f>'Credit Values'!D108</f>
        <v>8.425</v>
      </c>
      <c r="E33" s="27">
        <f>'Credit Values'!F30</f>
        <v>1.25</v>
      </c>
      <c r="F33" s="84">
        <f>'Credit Values'!D109</f>
        <v>1.0728395061728395</v>
      </c>
      <c r="G33" s="27">
        <f>+D33*E33*F33</f>
        <v>11.298341049382715</v>
      </c>
      <c r="H33" s="31">
        <f>+C33*G33</f>
        <v>18347.953333333335</v>
      </c>
      <c r="I33" s="26">
        <f>+I31+I27+I23+I19+I15+I11</f>
        <v>18347.953333333335</v>
      </c>
    </row>
  </sheetData>
  <mergeCells count="1">
    <mergeCell ref="D3:F3"/>
  </mergeCells>
  <printOptions/>
  <pageMargins left="0.9" right="0.75" top="1" bottom="1" header="0.5" footer="0.5"/>
  <pageSetup fitToHeight="1" fitToWidth="1" horizontalDpi="600" verticalDpi="600" orientation="landscape" r:id="rId4"/>
  <headerFooter alignWithMargins="0">
    <oddHeader>&amp;C&amp;"Arial,Bold"&amp;20Includes Imtermediate Manufacturers</oddHead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K33"/>
  <sheetViews>
    <sheetView zoomScale="75" zoomScaleNormal="75" workbookViewId="0" topLeftCell="A1">
      <selection activeCell="C31" sqref="C31"/>
    </sheetView>
  </sheetViews>
  <sheetFormatPr defaultColWidth="9.140625" defaultRowHeight="12.75"/>
  <cols>
    <col min="1" max="1" width="13.421875" style="0" customWidth="1"/>
    <col min="2" max="2" width="17.421875" style="0" customWidth="1"/>
    <col min="6" max="6" width="10.7109375" style="0" customWidth="1"/>
    <col min="7" max="7" width="11.28125" style="0" customWidth="1"/>
    <col min="11" max="11" width="11.421875" style="0" customWidth="1"/>
  </cols>
  <sheetData>
    <row r="1" ht="12.75">
      <c r="A1" t="s">
        <v>67</v>
      </c>
    </row>
    <row r="2" ht="12.75">
      <c r="D2" s="2"/>
    </row>
    <row r="3" spans="1:9" ht="12.75">
      <c r="A3" s="9" t="s">
        <v>17</v>
      </c>
      <c r="B3" s="19" t="s">
        <v>11</v>
      </c>
      <c r="C3" s="19" t="s">
        <v>55</v>
      </c>
      <c r="D3" s="135" t="s">
        <v>12</v>
      </c>
      <c r="E3" s="140"/>
      <c r="F3" s="136"/>
      <c r="G3" s="19" t="s">
        <v>35</v>
      </c>
      <c r="H3" s="9" t="s">
        <v>29</v>
      </c>
      <c r="I3" s="9" t="s">
        <v>39</v>
      </c>
    </row>
    <row r="4" spans="1:9" ht="12.75">
      <c r="A4" s="4"/>
      <c r="B4" s="4"/>
      <c r="C4" s="4" t="s">
        <v>30</v>
      </c>
      <c r="D4" s="18" t="s">
        <v>28</v>
      </c>
      <c r="E4" s="17" t="s">
        <v>54</v>
      </c>
      <c r="F4" s="6" t="s">
        <v>48</v>
      </c>
      <c r="G4" s="4" t="s">
        <v>56</v>
      </c>
      <c r="H4" s="4" t="s">
        <v>36</v>
      </c>
      <c r="I4" s="4" t="s">
        <v>36</v>
      </c>
    </row>
    <row r="5" spans="1:9" ht="12.75">
      <c r="A5" s="10"/>
      <c r="B5" s="4"/>
      <c r="C5" s="4"/>
      <c r="D5" s="18"/>
      <c r="E5" s="17" t="s">
        <v>40</v>
      </c>
      <c r="F5" s="6" t="s">
        <v>40</v>
      </c>
      <c r="G5" s="4"/>
      <c r="H5" s="6"/>
      <c r="I5" s="10"/>
    </row>
    <row r="6" spans="1:9" ht="12.75">
      <c r="A6" s="12" t="s">
        <v>18</v>
      </c>
      <c r="B6" s="15" t="s">
        <v>24</v>
      </c>
      <c r="C6" s="30">
        <f>+I9/G6</f>
        <v>1382.8001734127824</v>
      </c>
      <c r="D6" s="27">
        <f>'Credit Values'!E56</f>
        <v>2.008</v>
      </c>
      <c r="E6" s="27">
        <f>'Credit Values'!G30</f>
        <v>1</v>
      </c>
      <c r="F6" s="51">
        <f>'Credit Values'!E57</f>
        <v>1.1766355140186917</v>
      </c>
      <c r="G6" s="51">
        <f>+D6*E6*F6</f>
        <v>2.362684112149533</v>
      </c>
      <c r="H6" s="34">
        <f>+C6*G6</f>
        <v>3267.1200000000003</v>
      </c>
      <c r="I6" s="30"/>
    </row>
    <row r="7" spans="1:9" ht="12.75">
      <c r="A7" s="14" t="s">
        <v>38</v>
      </c>
      <c r="B7" s="7" t="s">
        <v>42</v>
      </c>
      <c r="C7" s="31">
        <v>0</v>
      </c>
      <c r="D7" s="27">
        <f>'Credit Values'!$E$104</f>
        <v>1</v>
      </c>
      <c r="E7" s="27">
        <f>'Credit Values'!$G$31</f>
        <v>0.15</v>
      </c>
      <c r="F7" s="51">
        <f>'Credit Values'!$E$105</f>
        <v>1</v>
      </c>
      <c r="G7" s="51">
        <f>+D7*E7*F7</f>
        <v>0.15</v>
      </c>
      <c r="H7" s="34">
        <f>+C7*G7</f>
        <v>0</v>
      </c>
      <c r="I7" s="42"/>
    </row>
    <row r="8" spans="1:9" ht="12.75">
      <c r="A8" s="86">
        <f>Sales!I42</f>
        <v>163356</v>
      </c>
      <c r="B8" s="7" t="s">
        <v>27</v>
      </c>
      <c r="C8" s="31">
        <v>0</v>
      </c>
      <c r="D8" s="27">
        <f>'Credit Values'!E60</f>
        <v>1</v>
      </c>
      <c r="E8" s="27">
        <f>'Credit Values'!$G$30</f>
        <v>1</v>
      </c>
      <c r="F8" s="51">
        <f>'Credit Values'!E61</f>
        <v>1.1227668845315906</v>
      </c>
      <c r="G8" s="51">
        <f>+D8*E8*F8</f>
        <v>1.1227668845315906</v>
      </c>
      <c r="H8" s="34">
        <f>+C8*G8</f>
        <v>0</v>
      </c>
      <c r="I8" s="42"/>
    </row>
    <row r="9" spans="1:9" ht="12.75">
      <c r="A9" s="14"/>
      <c r="B9" s="16" t="s">
        <v>37</v>
      </c>
      <c r="C9" s="31">
        <f>+SUM(C6:C8)</f>
        <v>1382.8001734127824</v>
      </c>
      <c r="D9" s="27"/>
      <c r="E9" s="27" t="s">
        <v>40</v>
      </c>
      <c r="F9" s="13"/>
      <c r="G9" s="51"/>
      <c r="H9" s="30">
        <f>+SUM(H6:H8)</f>
        <v>3267.1200000000003</v>
      </c>
      <c r="I9" s="44">
        <f>+A8*0.02</f>
        <v>3267.12</v>
      </c>
    </row>
    <row r="10" spans="1:9" ht="12.75">
      <c r="A10" s="9" t="s">
        <v>19</v>
      </c>
      <c r="B10" s="11" t="s">
        <v>34</v>
      </c>
      <c r="C10" s="32">
        <f>+I13/G10</f>
        <v>1695.7663497217366</v>
      </c>
      <c r="D10" s="28">
        <f>'Credit Values'!E64</f>
        <v>1.7679999999999998</v>
      </c>
      <c r="E10" s="47">
        <f>'Credit Values'!$G$30</f>
        <v>1</v>
      </c>
      <c r="F10" s="52">
        <f>'Credit Values'!E65</f>
        <v>1.42168</v>
      </c>
      <c r="G10" s="82">
        <f>+D10*E10*F10</f>
        <v>2.5135302399999997</v>
      </c>
      <c r="H10" s="36">
        <f>+C10*G10</f>
        <v>4262.36</v>
      </c>
      <c r="I10" s="37"/>
    </row>
    <row r="11" spans="1:9" ht="12.75">
      <c r="A11" s="10" t="s">
        <v>38</v>
      </c>
      <c r="B11" s="11" t="s">
        <v>42</v>
      </c>
      <c r="C11" s="32">
        <v>0</v>
      </c>
      <c r="D11" s="83">
        <f>'Credit Values'!$E$104</f>
        <v>1</v>
      </c>
      <c r="E11" s="47">
        <f>'Credit Values'!$G$31</f>
        <v>0.15</v>
      </c>
      <c r="F11" s="82">
        <f>'Credit Values'!$E$105</f>
        <v>1</v>
      </c>
      <c r="G11" s="82">
        <f>+D11*E11*F11</f>
        <v>0.15</v>
      </c>
      <c r="H11" s="38">
        <f>+C11*G11</f>
        <v>0</v>
      </c>
      <c r="I11" s="39"/>
    </row>
    <row r="12" spans="1:9" ht="12.75">
      <c r="A12" s="87">
        <f>Sales!I46</f>
        <v>213118</v>
      </c>
      <c r="B12" s="11" t="s">
        <v>57</v>
      </c>
      <c r="C12" s="32">
        <v>0</v>
      </c>
      <c r="D12" s="28">
        <f>'Credit Values'!E68</f>
        <v>1</v>
      </c>
      <c r="E12" s="47">
        <f>'Credit Values'!$G$30</f>
        <v>1</v>
      </c>
      <c r="F12" s="52">
        <f>'Credit Values'!E69</f>
        <v>1.1225127087872186</v>
      </c>
      <c r="G12" s="82">
        <f>+D12*E12*F12</f>
        <v>1.1225127087872186</v>
      </c>
      <c r="H12" s="38">
        <f>+C12*G12</f>
        <v>0</v>
      </c>
      <c r="I12" s="39"/>
    </row>
    <row r="13" spans="1:9" ht="12.75">
      <c r="A13" s="4"/>
      <c r="B13" s="11" t="s">
        <v>37</v>
      </c>
      <c r="C13" s="32">
        <f>+SUM(C10:C12)</f>
        <v>1695.7663497217366</v>
      </c>
      <c r="D13" s="28"/>
      <c r="E13" s="47" t="s">
        <v>40</v>
      </c>
      <c r="F13" s="43"/>
      <c r="G13" s="82"/>
      <c r="H13" s="40">
        <f>+SUM(H10:H12)</f>
        <v>4262.36</v>
      </c>
      <c r="I13" s="41">
        <f>+A12*0.02</f>
        <v>4262.36</v>
      </c>
    </row>
    <row r="14" spans="1:9" ht="12.75">
      <c r="A14" s="12" t="s">
        <v>20</v>
      </c>
      <c r="B14" s="7" t="s">
        <v>25</v>
      </c>
      <c r="C14" s="31">
        <f>+I17/G14</f>
        <v>1195.1495052235416</v>
      </c>
      <c r="D14" s="27">
        <f>'Credit Values'!E72</f>
        <v>2.4664</v>
      </c>
      <c r="E14" s="27">
        <f>'Credit Values'!$G$30</f>
        <v>1</v>
      </c>
      <c r="F14" s="51">
        <f>'Credit Values'!E73</f>
        <v>1.6361002178649235</v>
      </c>
      <c r="G14" s="51">
        <f aca="true" t="shared" si="0" ref="G14:G20">+D14*E14*F14</f>
        <v>4.035277577342048</v>
      </c>
      <c r="H14" s="34">
        <f>+C14*G14</f>
        <v>4822.76</v>
      </c>
      <c r="I14" s="42"/>
    </row>
    <row r="15" spans="1:10" ht="12.75">
      <c r="A15" s="14" t="s">
        <v>38</v>
      </c>
      <c r="B15" s="15" t="s">
        <v>42</v>
      </c>
      <c r="C15" s="31">
        <v>0</v>
      </c>
      <c r="D15" s="27">
        <f>'Credit Values'!$E$104</f>
        <v>1</v>
      </c>
      <c r="E15" s="27">
        <f>'Credit Values'!$G$31</f>
        <v>0.15</v>
      </c>
      <c r="F15" s="51">
        <f>'Credit Values'!$E$105</f>
        <v>1</v>
      </c>
      <c r="G15" s="51">
        <f t="shared" si="0"/>
        <v>0.15</v>
      </c>
      <c r="H15" s="34">
        <f>+C15*G15</f>
        <v>0</v>
      </c>
      <c r="I15" s="42"/>
      <c r="J15" s="23"/>
    </row>
    <row r="16" spans="1:9" ht="12.75">
      <c r="A16" s="86">
        <f>Sales!I50</f>
        <v>241138</v>
      </c>
      <c r="B16" s="7" t="s">
        <v>27</v>
      </c>
      <c r="C16" s="31">
        <v>0</v>
      </c>
      <c r="D16" s="27">
        <f>'Credit Values'!E76</f>
        <v>1</v>
      </c>
      <c r="E16" s="27">
        <f>'Credit Values'!$G$30</f>
        <v>1</v>
      </c>
      <c r="F16" s="51">
        <f>'Credit Values'!E77</f>
        <v>1.1227668845315906</v>
      </c>
      <c r="G16" s="51">
        <f t="shared" si="0"/>
        <v>1.1227668845315906</v>
      </c>
      <c r="H16" s="34">
        <f>+C16*G16</f>
        <v>0</v>
      </c>
      <c r="I16" s="42"/>
    </row>
    <row r="17" spans="1:9" ht="12.75">
      <c r="A17" s="13"/>
      <c r="B17" s="7" t="s">
        <v>37</v>
      </c>
      <c r="C17" s="31">
        <f>+SUM(C14:C16)</f>
        <v>1195.1495052235416</v>
      </c>
      <c r="D17" s="27"/>
      <c r="E17" s="27"/>
      <c r="F17" s="13"/>
      <c r="G17" s="51">
        <f t="shared" si="0"/>
        <v>0</v>
      </c>
      <c r="H17" s="30">
        <f>+SUM(H14:H16)</f>
        <v>4822.76</v>
      </c>
      <c r="I17" s="42">
        <f>+A16*0.02</f>
        <v>4822.76</v>
      </c>
    </row>
    <row r="18" spans="1:9" ht="12.75">
      <c r="A18" s="9" t="s">
        <v>21</v>
      </c>
      <c r="B18" s="11" t="s">
        <v>26</v>
      </c>
      <c r="C18" s="32">
        <f>+I21/G18</f>
        <v>1132.4105640306664</v>
      </c>
      <c r="D18" s="28">
        <f>'Credit Values'!E80</f>
        <v>2.8048</v>
      </c>
      <c r="E18" s="47">
        <f>'Credit Values'!$G$30</f>
        <v>1</v>
      </c>
      <c r="F18" s="52">
        <f>'Credit Values'!E81</f>
        <v>1.3642592592592593</v>
      </c>
      <c r="G18" s="82">
        <f t="shared" si="0"/>
        <v>3.8264743703703705</v>
      </c>
      <c r="H18" s="36">
        <f>+C18*G18</f>
        <v>4333.14</v>
      </c>
      <c r="I18" s="37"/>
    </row>
    <row r="19" spans="1:9" ht="12.75">
      <c r="A19" s="10" t="s">
        <v>38</v>
      </c>
      <c r="B19" s="11" t="s">
        <v>42</v>
      </c>
      <c r="C19" s="32">
        <v>0</v>
      </c>
      <c r="D19" s="83">
        <f>'Credit Values'!$E$104</f>
        <v>1</v>
      </c>
      <c r="E19" s="47">
        <f>'Credit Values'!$G$31</f>
        <v>0.15</v>
      </c>
      <c r="F19" s="82">
        <f>'Credit Values'!$E$105</f>
        <v>1</v>
      </c>
      <c r="G19" s="82">
        <f t="shared" si="0"/>
        <v>0.15</v>
      </c>
      <c r="H19" s="38">
        <f>+C19*G19</f>
        <v>0</v>
      </c>
      <c r="I19" s="39"/>
    </row>
    <row r="20" spans="1:9" ht="12.75">
      <c r="A20" s="87">
        <f>Sales!I54</f>
        <v>216657</v>
      </c>
      <c r="B20" s="11" t="s">
        <v>58</v>
      </c>
      <c r="C20" s="32">
        <v>0</v>
      </c>
      <c r="D20" s="28">
        <f>'Credit Values'!E84</f>
        <v>1.7200000000000002</v>
      </c>
      <c r="E20" s="47">
        <f>'Credit Values'!$G$30</f>
        <v>1</v>
      </c>
      <c r="F20" s="52">
        <f>'Credit Values'!E85</f>
        <v>1.1583514887436457</v>
      </c>
      <c r="G20" s="82">
        <f t="shared" si="0"/>
        <v>1.9923645606390707</v>
      </c>
      <c r="H20" s="38">
        <f>+C20*G20</f>
        <v>0</v>
      </c>
      <c r="I20" s="39"/>
    </row>
    <row r="21" spans="1:9" ht="12.75">
      <c r="A21" s="10"/>
      <c r="B21" s="11" t="s">
        <v>37</v>
      </c>
      <c r="C21" s="32">
        <f>+SUM(C18:C20)</f>
        <v>1132.4105640306664</v>
      </c>
      <c r="D21" s="28"/>
      <c r="E21" s="47" t="s">
        <v>40</v>
      </c>
      <c r="F21" s="43"/>
      <c r="G21" s="82"/>
      <c r="H21" s="40">
        <f>+SUM(H18:H20)</f>
        <v>4333.14</v>
      </c>
      <c r="I21" s="41">
        <f>+A20*0.02</f>
        <v>4333.14</v>
      </c>
    </row>
    <row r="22" spans="1:9" ht="12.75">
      <c r="A22" s="12" t="s">
        <v>22</v>
      </c>
      <c r="B22" s="16" t="s">
        <v>6</v>
      </c>
      <c r="C22" s="31">
        <f>+I25/G22</f>
        <v>240.1159334708921</v>
      </c>
      <c r="D22" s="27">
        <f>'Credit Values'!E88</f>
        <v>2.896</v>
      </c>
      <c r="E22" s="27">
        <f>'Credit Values'!$G$30</f>
        <v>1</v>
      </c>
      <c r="F22" s="51">
        <f>'Credit Values'!E89</f>
        <v>1.6509635416666666</v>
      </c>
      <c r="G22" s="51">
        <f>+D22*E22*F22</f>
        <v>4.781190416666666</v>
      </c>
      <c r="H22" s="34">
        <f>+C22*G22</f>
        <v>1148.04</v>
      </c>
      <c r="I22" s="42"/>
    </row>
    <row r="23" spans="1:9" ht="12.75">
      <c r="A23" s="14" t="s">
        <v>38</v>
      </c>
      <c r="B23" s="16" t="s">
        <v>42</v>
      </c>
      <c r="C23" s="31">
        <v>0</v>
      </c>
      <c r="D23" s="27">
        <f>'Credit Values'!$E$104</f>
        <v>1</v>
      </c>
      <c r="E23" s="27">
        <f>'Credit Values'!$G$31</f>
        <v>0.15</v>
      </c>
      <c r="F23" s="51">
        <f>'Credit Values'!$E$105</f>
        <v>1</v>
      </c>
      <c r="G23" s="51">
        <f>+D23*E23*F23</f>
        <v>0.15</v>
      </c>
      <c r="H23" s="34">
        <f>+C23*G23</f>
        <v>0</v>
      </c>
      <c r="I23" s="42"/>
    </row>
    <row r="24" spans="1:9" ht="12.75">
      <c r="A24" s="86">
        <f>Sales!I58</f>
        <v>57402</v>
      </c>
      <c r="B24" s="7" t="s">
        <v>59</v>
      </c>
      <c r="C24" s="30">
        <v>0</v>
      </c>
      <c r="D24" s="27">
        <f>'Credit Values'!E92</f>
        <v>1.24</v>
      </c>
      <c r="E24" s="27">
        <f>'Credit Values'!$G$30</f>
        <v>1</v>
      </c>
      <c r="F24" s="51">
        <f>'Credit Values'!E93</f>
        <v>1.3318010167029777</v>
      </c>
      <c r="G24" s="51">
        <f>+D24*E24*F24</f>
        <v>1.6514332607116924</v>
      </c>
      <c r="H24" s="34">
        <f>+C24*G24</f>
        <v>0</v>
      </c>
      <c r="I24" s="42"/>
    </row>
    <row r="25" spans="1:9" ht="12.75">
      <c r="A25" s="14"/>
      <c r="B25" s="15" t="s">
        <v>37</v>
      </c>
      <c r="C25" s="30">
        <f>+SUM(C22:C24)</f>
        <v>240.1159334708921</v>
      </c>
      <c r="D25" s="27"/>
      <c r="E25" s="27" t="s">
        <v>40</v>
      </c>
      <c r="F25" s="13"/>
      <c r="G25" s="51"/>
      <c r="H25" s="30">
        <f>+SUM(H22:H24)</f>
        <v>1148.04</v>
      </c>
      <c r="I25" s="42">
        <f>+A24*0.02</f>
        <v>1148.04</v>
      </c>
    </row>
    <row r="26" spans="1:9" ht="12.75">
      <c r="A26" s="9" t="s">
        <v>23</v>
      </c>
      <c r="B26" s="11" t="s">
        <v>7</v>
      </c>
      <c r="C26" s="32">
        <f>+I29/G26</f>
        <v>923.7911562553141</v>
      </c>
      <c r="D26" s="28">
        <f>'Credit Values'!E96</f>
        <v>3.2176000000000005</v>
      </c>
      <c r="E26" s="47">
        <f>'Credit Values'!$G$30</f>
        <v>1</v>
      </c>
      <c r="F26" s="47">
        <f>'Credit Values'!E97</f>
        <v>1.6074133333333331</v>
      </c>
      <c r="G26" s="82">
        <f>+D26*E26*F26</f>
        <v>5.172013141333333</v>
      </c>
      <c r="H26" s="36">
        <f>+C26*G26</f>
        <v>4777.86</v>
      </c>
      <c r="I26" s="37"/>
    </row>
    <row r="27" spans="1:9" ht="12.75">
      <c r="A27" s="10" t="s">
        <v>38</v>
      </c>
      <c r="B27" s="2" t="s">
        <v>42</v>
      </c>
      <c r="C27" s="32">
        <v>0</v>
      </c>
      <c r="D27" s="83">
        <f>'Credit Values'!$E$104</f>
        <v>1</v>
      </c>
      <c r="E27" s="47">
        <f>'Credit Values'!$G$31</f>
        <v>0.15</v>
      </c>
      <c r="F27" s="82">
        <f>'Credit Values'!$E$105</f>
        <v>1</v>
      </c>
      <c r="G27" s="82">
        <f>+D27*E27*F27</f>
        <v>0.15</v>
      </c>
      <c r="H27" s="38">
        <f>+C27*G27</f>
        <v>0</v>
      </c>
      <c r="I27" s="39"/>
    </row>
    <row r="28" spans="1:9" ht="12.75">
      <c r="A28" s="87">
        <f>Sales!I62</f>
        <v>238893</v>
      </c>
      <c r="B28" s="11" t="s">
        <v>60</v>
      </c>
      <c r="C28" s="32">
        <v>0</v>
      </c>
      <c r="D28" s="28">
        <f>'Credit Values'!E100</f>
        <v>1.24</v>
      </c>
      <c r="E28" s="47">
        <f>'Credit Values'!$G$30</f>
        <v>1</v>
      </c>
      <c r="F28" s="52">
        <f>'Credit Values'!E101</f>
        <v>1.2976397966594044</v>
      </c>
      <c r="G28" s="82">
        <f>+D28*E28*F28</f>
        <v>1.6090733478576615</v>
      </c>
      <c r="H28" s="38">
        <f>+C28*G28</f>
        <v>0</v>
      </c>
      <c r="I28" s="39"/>
    </row>
    <row r="29" spans="1:11" ht="12.75">
      <c r="A29" s="4"/>
      <c r="B29" s="1" t="s">
        <v>37</v>
      </c>
      <c r="C29" s="32">
        <f>+SUM(C26:C28)</f>
        <v>923.7911562553141</v>
      </c>
      <c r="D29" s="28"/>
      <c r="E29" s="29" t="s">
        <v>40</v>
      </c>
      <c r="F29" s="43"/>
      <c r="G29" s="52"/>
      <c r="H29" s="40">
        <f>+SUM(H26:H28)</f>
        <v>4777.86</v>
      </c>
      <c r="I29" s="41">
        <f>+A28*0.02</f>
        <v>4777.86</v>
      </c>
      <c r="J29" s="105" t="s">
        <v>178</v>
      </c>
      <c r="K29" s="105" t="s">
        <v>47</v>
      </c>
    </row>
    <row r="30" spans="7:11" ht="12.75">
      <c r="G30" s="85"/>
      <c r="H30" s="33"/>
      <c r="I30" s="22"/>
      <c r="J30" s="105" t="s">
        <v>12</v>
      </c>
      <c r="K30" s="105" t="s">
        <v>179</v>
      </c>
    </row>
    <row r="31" spans="1:11" ht="12.75">
      <c r="A31" s="88">
        <f>+A28+A24+A20+A16+A12+A8</f>
        <v>1130564</v>
      </c>
      <c r="B31" s="7" t="s">
        <v>35</v>
      </c>
      <c r="C31" s="26">
        <f>+C29+C25+C21+C17+C13+C9</f>
        <v>6570.033682114932</v>
      </c>
      <c r="D31" s="25"/>
      <c r="E31" s="25"/>
      <c r="F31" s="25"/>
      <c r="G31" s="84"/>
      <c r="H31" s="26">
        <f>+H29+H25+H21+H17+H13+H9</f>
        <v>22611.28</v>
      </c>
      <c r="I31" s="26">
        <f>+I29+I25+I21+I17+I13+I9</f>
        <v>22611.28</v>
      </c>
      <c r="J31" s="106">
        <f>I31/C31</f>
        <v>3.4415774855999364</v>
      </c>
      <c r="K31" s="107">
        <f>'Fleet totals'!F8/J31</f>
        <v>0.005811288597651201</v>
      </c>
    </row>
    <row r="32" ht="12.75">
      <c r="G32" s="85"/>
    </row>
    <row r="33" spans="1:9" ht="12.75">
      <c r="A33" s="7" t="s">
        <v>126</v>
      </c>
      <c r="B33" s="7"/>
      <c r="C33" s="31">
        <f>+I33/G33</f>
        <v>2815.2878750614855</v>
      </c>
      <c r="D33" s="27">
        <f>'Credit Values'!E108</f>
        <v>6.3999999999999995</v>
      </c>
      <c r="E33" s="27">
        <f>'Credit Values'!G30</f>
        <v>1</v>
      </c>
      <c r="F33" s="84">
        <f>'Credit Values'!E109</f>
        <v>1.2549382716049382</v>
      </c>
      <c r="G33" s="27">
        <f>+D33*E33*F33</f>
        <v>8.031604938271604</v>
      </c>
      <c r="H33" s="31">
        <f>+C33*G33</f>
        <v>22611.28</v>
      </c>
      <c r="I33" s="26">
        <f>+I31+I27+I23+I19+I15+I11</f>
        <v>22611.28</v>
      </c>
    </row>
  </sheetData>
  <mergeCells count="1">
    <mergeCell ref="D3:F3"/>
  </mergeCells>
  <printOptions/>
  <pageMargins left="0.97" right="0.75" top="1" bottom="1" header="0.5" footer="0.5"/>
  <pageSetup fitToHeight="1" fitToWidth="1" horizontalDpi="600" verticalDpi="600" orientation="landscape" r:id="rId4"/>
  <headerFooter alignWithMargins="0">
    <oddHeader>&amp;C&amp;"Arial,Bold"&amp;20Includes Intermediate Manufacturers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CARB</dc:creator>
  <cp:keywords/>
  <dc:description/>
  <cp:lastModifiedBy>ARB</cp:lastModifiedBy>
  <cp:lastPrinted>2001-05-22T21:10:54Z</cp:lastPrinted>
  <dcterms:created xsi:type="dcterms:W3CDTF">2000-10-04T23:32:48Z</dcterms:created>
  <dcterms:modified xsi:type="dcterms:W3CDTF">2001-02-26T00:01:42Z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